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ata_Inputs" sheetId="1" r:id="rId1"/>
    <sheet name="Lists" sheetId="2" r:id="rId2"/>
    <sheet name="Targets" sheetId="3" r:id="rId3"/>
    <sheet name="Dashboard" sheetId="4" r:id="rId4"/>
  </sheets>
  <definedNames>
    <definedName name="_xlnm._FilterDatabase" localSheetId="0" hidden="1">Data_Inputs!$A$3:$J$64</definedName>
    <definedName name="rng_departements">Lists!$A$2:$A$7</definedName>
    <definedName name="rng_mois">Lists!$C$2:$C$13</definedName>
    <definedName name="sel_dept">Dashboard!$B$3</definedName>
    <definedName name="sel_month">Dashboard!$E$3</definedName>
  </definedNames>
  <calcPr calcId="124519" fullCalcOnLoad="1"/>
</workbook>
</file>

<file path=xl/sharedStrings.xml><?xml version="1.0" encoding="utf-8"?>
<sst xmlns="http://schemas.openxmlformats.org/spreadsheetml/2006/main" count="188" uniqueCount="88">
  <si>
    <t>Données RH mensuelles (PME - France) – Base</t>
  </si>
  <si>
    <t>Month</t>
  </si>
  <si>
    <t>Department</t>
  </si>
  <si>
    <t>Headcount_Start</t>
  </si>
  <si>
    <t>Hires</t>
  </si>
  <si>
    <t>Exits</t>
  </si>
  <si>
    <t>Absence_Days</t>
  </si>
  <si>
    <t>Workdays</t>
  </si>
  <si>
    <t>Training_Hours</t>
  </si>
  <si>
    <t>Headcount_End</t>
  </si>
  <si>
    <t>Payroll_Cost_EUR</t>
  </si>
  <si>
    <t>Commercial</t>
  </si>
  <si>
    <t>Production</t>
  </si>
  <si>
    <t>RH</t>
  </si>
  <si>
    <t>IT</t>
  </si>
  <si>
    <t>Finance</t>
  </si>
  <si>
    <t>Départements</t>
  </si>
  <si>
    <t>Tous</t>
  </si>
  <si>
    <t>Mois</t>
  </si>
  <si>
    <t>Seuils &amp; Explications KPI (PME FR)</t>
  </si>
  <si>
    <t>KPI</t>
  </si>
  <si>
    <t>Vert</t>
  </si>
  <si>
    <t>Orange</t>
  </si>
  <si>
    <t>Rouge</t>
  </si>
  <si>
    <t>Note</t>
  </si>
  <si>
    <t>Turnover YTD (%)</t>
  </si>
  <si>
    <t>≤ 12%</t>
  </si>
  <si>
    <t>12% – 15%</t>
  </si>
  <si>
    <t>&gt; 15%</t>
  </si>
  <si>
    <t>Objectif PME : fidéliser les talents.</t>
  </si>
  <si>
    <t>Taux d'absentéisme YTD (%)</t>
  </si>
  <si>
    <t>≤ 3%</t>
  </si>
  <si>
    <t>3% – 5%</t>
  </si>
  <si>
    <t>&gt; 5%</t>
  </si>
  <si>
    <t>Inclut congés maladie/accidents non planifiés.</t>
  </si>
  <si>
    <t>Heures de formation / ETP (YTD)</t>
  </si>
  <si>
    <t>≥ 12 h</t>
  </si>
  <si>
    <t>8 – 12 h</t>
  </si>
  <si>
    <t>&lt; 8 h</t>
  </si>
  <si>
    <t>Priorité France : montée en compétence continue.</t>
  </si>
  <si>
    <t>Conseil : adaptez ces seuils à votre secteur &amp; convention collective.</t>
  </si>
  <si>
    <t>Tableau de Bord RH – PME France (Automatisé)</t>
  </si>
  <si>
    <t>Sélection</t>
  </si>
  <si>
    <t>Département</t>
  </si>
  <si>
    <t>Mois (YTD jusqu'à)</t>
  </si>
  <si>
    <t>Espace branding
(votre logo / raison sociale)</t>
  </si>
  <si>
    <t>Indicateurs Clés</t>
  </si>
  <si>
    <t>Effectif actuel</t>
  </si>
  <si>
    <t>Turnover YTD</t>
  </si>
  <si>
    <t>Absentéisme YTD</t>
  </si>
  <si>
    <t>Heures formation / ETP</t>
  </si>
  <si>
    <t>—</t>
  </si>
  <si>
    <t>ETP au dernier mois sélectionné</t>
  </si>
  <si>
    <t>Départs cumulés / ETP moyen</t>
  </si>
  <si>
    <t>Jours d'absence / (Jours ouvrés x ETP moyen)</t>
  </si>
  <si>
    <t>Statuts (feu tricolore)</t>
  </si>
  <si>
    <t>Valeur</t>
  </si>
  <si>
    <t>Statut</t>
  </si>
  <si>
    <t>Turnover YTD %</t>
  </si>
  <si>
    <t>Absentéisme YTD %</t>
  </si>
  <si>
    <t>Série temporelle (sel. dept) – Aide</t>
  </si>
  <si>
    <t>ETP fin</t>
  </si>
  <si>
    <t>Embauches</t>
  </si>
  <si>
    <t>Départs</t>
  </si>
  <si>
    <t>ETP fin (plot)</t>
  </si>
  <si>
    <t>YTD par département (jusqu'au mois sélectionné)</t>
  </si>
  <si>
    <t>Absences YTD (j)</t>
  </si>
  <si>
    <t>Heures formation YTD</t>
  </si>
  <si>
    <t>Jauges semi-circulaires (tri-couleurs)</t>
  </si>
  <si>
    <t>Paramètre</t>
  </si>
  <si>
    <t>Turnover %</t>
  </si>
  <si>
    <t>Absentéisme %</t>
  </si>
  <si>
    <t>Formation / ETP (h)</t>
  </si>
  <si>
    <t>Jauge – Turnover YTD – paramètres</t>
  </si>
  <si>
    <t>Valeur (0-100)</t>
  </si>
  <si>
    <t>Reste</t>
  </si>
  <si>
    <t>Bande Verte</t>
  </si>
  <si>
    <t>Bande Orange</t>
  </si>
  <si>
    <t>Bande Rouge</t>
  </si>
  <si>
    <t>Cache bas</t>
  </si>
  <si>
    <t>Valeur (anneau)</t>
  </si>
  <si>
    <t>Reste (anneau)</t>
  </si>
  <si>
    <t>Jauge – Absentéisme YTD – paramètres</t>
  </si>
  <si>
    <t>% formation / cap 20h</t>
  </si>
  <si>
    <t>Jauge – Formation/ETP (cap 20h) – paramètres</t>
  </si>
  <si>
    <t>Statuts YTD par département (feu tricolore)</t>
  </si>
  <si>
    <t>Formation/ETP (h)</t>
  </si>
  <si>
    <t>ETP moyen (YTD)</t>
  </si>
</sst>
</file>

<file path=xl/styles.xml><?xml version="1.0" encoding="utf-8"?>
<styleSheet xmlns="http://schemas.openxmlformats.org/spreadsheetml/2006/main">
  <numFmts count="6">
    <numFmt numFmtId="164" formatCode="mmmm yyyy"/>
    <numFmt numFmtId="165" formatCode="#,##0"/>
    <numFmt numFmtId="166" formatCode="#,##0 €"/>
    <numFmt numFmtId="167" formatCode="0.0%"/>
    <numFmt numFmtId="168" formatCode="0.0"/>
    <numFmt numFmtId="169" formatCode="mmm yy"/>
  </numFmts>
  <fonts count="9">
    <font>
      <sz val="11"/>
      <color theme="1"/>
      <name val="Calibri"/>
      <family val="2"/>
      <scheme val="minor"/>
    </font>
    <font>
      <b/>
      <sz val="20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6B7280"/>
      <name val="Calibri"/>
      <family val="2"/>
      <scheme val="minor"/>
    </font>
    <font>
      <b/>
      <sz val="13"/>
      <color rgb="FF1F2937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6B7280"/>
      <name val="Calibri"/>
      <family val="2"/>
      <scheme val="minor"/>
    </font>
    <font>
      <b/>
      <sz val="11"/>
      <color rgb="FF1F2937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A3CEF1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E5EE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3" borderId="1" xfId="0" applyFont="1" applyFill="1" applyBorder="1"/>
    <xf numFmtId="164" fontId="0" fillId="0" borderId="1" xfId="0" applyNumberFormat="1" applyBorder="1"/>
    <xf numFmtId="0" fontId="0" fillId="0" borderId="1" xfId="0" applyBorder="1"/>
    <xf numFmtId="165" fontId="0" fillId="0" borderId="1" xfId="0" applyNumberFormat="1" applyBorder="1"/>
    <xf numFmtId="166" fontId="0" fillId="0" borderId="1" xfId="0" applyNumberFormat="1" applyBorder="1"/>
    <xf numFmtId="164" fontId="0" fillId="0" borderId="0" xfId="0" applyNumberFormat="1"/>
    <xf numFmtId="0" fontId="3" fillId="0" borderId="0" xfId="0" applyFont="1"/>
    <xf numFmtId="0" fontId="4" fillId="4" borderId="1" xfId="0" applyFont="1" applyFill="1" applyBorder="1"/>
    <xf numFmtId="0" fontId="3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167" fontId="6" fillId="0" borderId="1" xfId="0" applyNumberFormat="1" applyFont="1" applyBorder="1" applyAlignment="1">
      <alignment horizontal="center" vertical="center"/>
    </xf>
    <xf numFmtId="168" fontId="6" fillId="0" borderId="1" xfId="0" applyNumberFormat="1" applyFont="1" applyBorder="1" applyAlignment="1">
      <alignment horizontal="center" vertical="center"/>
    </xf>
    <xf numFmtId="167" fontId="0" fillId="0" borderId="0" xfId="0" applyNumberFormat="1"/>
    <xf numFmtId="168" fontId="0" fillId="0" borderId="0" xfId="0" applyNumberFormat="1"/>
    <xf numFmtId="0" fontId="7" fillId="0" borderId="0" xfId="0" applyFont="1"/>
    <xf numFmtId="0" fontId="8" fillId="0" borderId="0" xfId="0" applyFont="1"/>
    <xf numFmtId="167" fontId="0" fillId="0" borderId="1" xfId="0" applyNumberFormat="1" applyBorder="1"/>
    <xf numFmtId="169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Effectif – tendance YTD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ETP (fin de mois)</c:v>
          </c:tx>
          <c:spPr>
            <a:ln w="28575"/>
          </c:spPr>
          <c:marker>
            <c:symbol val="none"/>
          </c:marker>
          <c:cat>
            <c:numRef>
              <c:f>Dashboard!$A$19:$A$30</c:f>
              <c:numCache>
                <c:formatCode>General</c:formatCode>
                <c:ptCount val="12"/>
                <c:pt idx="0">
                  <c:v>45658</c:v>
                </c:pt>
                <c:pt idx="1">
                  <c:v>45689</c:v>
                </c:pt>
                <c:pt idx="2">
                  <c:v>45717</c:v>
                </c:pt>
                <c:pt idx="3">
                  <c:v>45748</c:v>
                </c:pt>
                <c:pt idx="4">
                  <c:v>45778</c:v>
                </c:pt>
                <c:pt idx="5">
                  <c:v>45809</c:v>
                </c:pt>
                <c:pt idx="6">
                  <c:v>45839</c:v>
                </c:pt>
                <c:pt idx="7">
                  <c:v>45870</c:v>
                </c:pt>
                <c:pt idx="8">
                  <c:v>45901</c:v>
                </c:pt>
                <c:pt idx="9">
                  <c:v>45931</c:v>
                </c:pt>
                <c:pt idx="10">
                  <c:v>45962</c:v>
                </c:pt>
                <c:pt idx="11">
                  <c:v>45992</c:v>
                </c:pt>
              </c:numCache>
            </c:numRef>
          </c:cat>
          <c:val>
            <c:numRef>
              <c:f>Dashboard!$E$19:$E$30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marker val="1"/>
        <c:axId val="50010001"/>
        <c:axId val="50010002"/>
      </c:lineChart>
      <c:catAx>
        <c:axId val="50010001"/>
        <c:scaling>
          <c:orientation val="minMax"/>
        </c:scaling>
        <c:axPos val="b"/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Flux RH – Embauches vs Départs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Embauches</c:v>
          </c:tx>
          <c:cat>
            <c:numRef>
              <c:f>Dashboard!$A$19:$A$30</c:f>
              <c:numCache>
                <c:formatCode>General</c:formatCode>
                <c:ptCount val="12"/>
                <c:pt idx="0">
                  <c:v>45658</c:v>
                </c:pt>
                <c:pt idx="1">
                  <c:v>45689</c:v>
                </c:pt>
                <c:pt idx="2">
                  <c:v>45717</c:v>
                </c:pt>
                <c:pt idx="3">
                  <c:v>45748</c:v>
                </c:pt>
                <c:pt idx="4">
                  <c:v>45778</c:v>
                </c:pt>
                <c:pt idx="5">
                  <c:v>45809</c:v>
                </c:pt>
                <c:pt idx="6">
                  <c:v>45839</c:v>
                </c:pt>
                <c:pt idx="7">
                  <c:v>45870</c:v>
                </c:pt>
                <c:pt idx="8">
                  <c:v>45901</c:v>
                </c:pt>
                <c:pt idx="9">
                  <c:v>45931</c:v>
                </c:pt>
                <c:pt idx="10">
                  <c:v>45962</c:v>
                </c:pt>
                <c:pt idx="11">
                  <c:v>45992</c:v>
                </c:pt>
              </c:numCache>
            </c:numRef>
          </c:cat>
          <c:val>
            <c:numRef>
              <c:f>Dashboard!$C$19:$C$30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ser>
          <c:idx val="1"/>
          <c:order val="1"/>
          <c:tx>
            <c:v>Départs</c:v>
          </c:tx>
          <c:cat>
            <c:numRef>
              <c:f>Dashboard!$A$19:$A$30</c:f>
              <c:numCache>
                <c:formatCode>General</c:formatCode>
                <c:ptCount val="12"/>
                <c:pt idx="0">
                  <c:v>45658</c:v>
                </c:pt>
                <c:pt idx="1">
                  <c:v>45689</c:v>
                </c:pt>
                <c:pt idx="2">
                  <c:v>45717</c:v>
                </c:pt>
                <c:pt idx="3">
                  <c:v>45748</c:v>
                </c:pt>
                <c:pt idx="4">
                  <c:v>45778</c:v>
                </c:pt>
                <c:pt idx="5">
                  <c:v>45809</c:v>
                </c:pt>
                <c:pt idx="6">
                  <c:v>45839</c:v>
                </c:pt>
                <c:pt idx="7">
                  <c:v>45870</c:v>
                </c:pt>
                <c:pt idx="8">
                  <c:v>45901</c:v>
                </c:pt>
                <c:pt idx="9">
                  <c:v>45931</c:v>
                </c:pt>
                <c:pt idx="10">
                  <c:v>45962</c:v>
                </c:pt>
                <c:pt idx="11">
                  <c:v>45992</c:v>
                </c:pt>
              </c:numCache>
            </c:numRef>
          </c:cat>
          <c:val>
            <c:numRef>
              <c:f>Dashboard!$D$19:$D$30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Absences YTD par département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Absences YTD (j)</c:v>
          </c:tx>
          <c:cat>
            <c:strRef>
              <c:f>Dashboard!$A$47:$A$51</c:f>
              <c:strCache>
                <c:ptCount val="5"/>
                <c:pt idx="0">
                  <c:v>Commercial</c:v>
                </c:pt>
                <c:pt idx="1">
                  <c:v>Production</c:v>
                </c:pt>
                <c:pt idx="2">
                  <c:v>RH</c:v>
                </c:pt>
                <c:pt idx="3">
                  <c:v>IT</c:v>
                </c:pt>
                <c:pt idx="4">
                  <c:v>Finance</c:v>
                </c:pt>
              </c:strCache>
            </c:strRef>
          </c:cat>
          <c:val>
            <c:numRef>
              <c:f>Dashboard!$B$47:$B$51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axId val="50030001"/>
        <c:axId val="50030002"/>
      </c:barChart>
      <c:catAx>
        <c:axId val="50030001"/>
        <c:scaling>
          <c:orientation val="minMax"/>
        </c:scaling>
        <c:axPos val="b"/>
        <c:tickLblPos val="nextTo"/>
        <c:crossAx val="50030002"/>
        <c:crosses val="autoZero"/>
        <c:auto val="1"/>
        <c:lblAlgn val="ctr"/>
        <c:lblOffset val="100"/>
      </c:catAx>
      <c:valAx>
        <c:axId val="50030002"/>
        <c:scaling>
          <c:orientation val="minMax"/>
        </c:scaling>
        <c:axPos val="l"/>
        <c:majorGridlines/>
        <c:numFmt formatCode="General" sourceLinked="1"/>
        <c:tickLblPos val="nextTo"/>
        <c:crossAx val="5003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Formation YTD par département (heures)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Formation YTD (h)</c:v>
          </c:tx>
          <c:cat>
            <c:strRef>
              <c:f>Dashboard!$A$47:$A$51</c:f>
              <c:strCache>
                <c:ptCount val="5"/>
                <c:pt idx="0">
                  <c:v>Commercial</c:v>
                </c:pt>
                <c:pt idx="1">
                  <c:v>Production</c:v>
                </c:pt>
                <c:pt idx="2">
                  <c:v>RH</c:v>
                </c:pt>
                <c:pt idx="3">
                  <c:v>IT</c:v>
                </c:pt>
                <c:pt idx="4">
                  <c:v>Finance</c:v>
                </c:pt>
              </c:strCache>
            </c:strRef>
          </c:cat>
          <c:val>
            <c:numRef>
              <c:f>Dashboard!$C$47:$C$51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axId val="50040001"/>
        <c:axId val="50040002"/>
      </c:barChart>
      <c:catAx>
        <c:axId val="50040001"/>
        <c:scaling>
          <c:orientation val="minMax"/>
        </c:scaling>
        <c:axPos val="b"/>
        <c:tickLblPos val="nextTo"/>
        <c:crossAx val="50040002"/>
        <c:crosses val="autoZero"/>
        <c:auto val="1"/>
        <c:lblAlgn val="ctr"/>
        <c:lblOffset val="100"/>
      </c:catAx>
      <c:valAx>
        <c:axId val="50040002"/>
        <c:scaling>
          <c:orientation val="minMax"/>
        </c:scaling>
        <c:axPos val="l"/>
        <c:majorGridlines/>
        <c:numFmt formatCode="General" sourceLinked="1"/>
        <c:tickLblPos val="nextTo"/>
        <c:crossAx val="5004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Jauge – Turnover YTD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Jauge – Turnover YTD seuils</c:v>
          </c:tx>
          <c:spPr>
            <a:ln>
              <a:noFill/>
            </a:ln>
          </c:spPr>
          <c:dPt>
            <c:idx val="0"/>
            <c:spPr>
              <a:solidFill>
                <a:srgbClr val="10B981"/>
              </a:solidFill>
            </c:spPr>
          </c:dPt>
          <c:dPt>
            <c:idx val="1"/>
            <c:spPr>
              <a:solidFill>
                <a:srgbClr val="F59E0B"/>
              </a:solidFill>
            </c:spPr>
          </c:dPt>
          <c:dPt>
            <c:idx val="2"/>
            <c:spPr>
              <a:solidFill>
                <a:srgbClr val="EF4444"/>
              </a:solidFill>
            </c:spPr>
          </c:dPt>
          <c:dPt>
            <c:idx val="3"/>
            <c:spPr>
              <a:noFill/>
            </c:spPr>
          </c:dPt>
          <c:dLbls/>
          <c:cat>
            <c:strRef>
              <c:f>Dashboard!$J$15:$J$18</c:f>
              <c:strCache>
                <c:ptCount val="4"/>
                <c:pt idx="0">
                  <c:v>Bande Verte</c:v>
                </c:pt>
                <c:pt idx="1">
                  <c:v>Bande Orange</c:v>
                </c:pt>
                <c:pt idx="2">
                  <c:v>Bande Rouge</c:v>
                </c:pt>
                <c:pt idx="3">
                  <c:v>Cache bas</c:v>
                </c:pt>
              </c:strCache>
            </c:strRef>
          </c:cat>
          <c:val>
            <c:numRef>
              <c:f>Dashboard!$K$15:$K$18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50</c:v>
                </c:pt>
              </c:numCache>
            </c:numRef>
          </c:val>
        </c:ser>
        <c:ser>
          <c:idx val="1"/>
          <c:order val="1"/>
          <c:tx>
            <c:v>Jauge – Turnover YTD actuel</c:v>
          </c:tx>
          <c:spPr>
            <a:ln>
              <a:noFill/>
            </a:ln>
          </c:spPr>
          <c:dPt>
            <c:idx val="0"/>
            <c:spPr>
              <a:solidFill>
                <a:srgbClr val="6B7280"/>
              </a:solidFill>
            </c:spPr>
          </c:dPt>
          <c:dPt>
            <c:idx val="1"/>
            <c:spPr>
              <a:solidFill>
                <a:srgbClr val="E0E0E0"/>
              </a:solidFill>
            </c:spPr>
          </c:dPt>
          <c:dPt>
            <c:idx val="2"/>
            <c:spPr>
              <a:noFill/>
            </c:spPr>
          </c:dPt>
          <c:dLbls/>
          <c:cat>
            <c:strRef>
              <c:f>Dashboard!$J$20:$J$22</c:f>
              <c:strCache>
                <c:ptCount val="3"/>
                <c:pt idx="0">
                  <c:v>Valeur (anneau)</c:v>
                </c:pt>
                <c:pt idx="1">
                  <c:v>Reste (anneau)</c:v>
                </c:pt>
                <c:pt idx="2">
                  <c:v>Cache bas</c:v>
                </c:pt>
              </c:strCache>
            </c:strRef>
          </c:cat>
          <c:val>
            <c:numRef>
              <c:f>Dashboard!$K$20:$K$22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50</c:v>
                </c:pt>
              </c:numCache>
            </c:numRef>
          </c:val>
        </c:ser>
        <c:firstSliceAng val="270"/>
        <c:holeSize val="60"/>
      </c:doughnutChart>
    </c:plotArea>
    <c:plotVisOnly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Jauge – Absentéisme YTD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Jauge – Absentéisme YTD seuils</c:v>
          </c:tx>
          <c:spPr>
            <a:ln>
              <a:noFill/>
            </a:ln>
          </c:spPr>
          <c:dPt>
            <c:idx val="0"/>
            <c:spPr>
              <a:solidFill>
                <a:srgbClr val="10B981"/>
              </a:solidFill>
            </c:spPr>
          </c:dPt>
          <c:dPt>
            <c:idx val="1"/>
            <c:spPr>
              <a:solidFill>
                <a:srgbClr val="F59E0B"/>
              </a:solidFill>
            </c:spPr>
          </c:dPt>
          <c:dPt>
            <c:idx val="2"/>
            <c:spPr>
              <a:solidFill>
                <a:srgbClr val="EF4444"/>
              </a:solidFill>
            </c:spPr>
          </c:dPt>
          <c:dPt>
            <c:idx val="3"/>
            <c:spPr>
              <a:noFill/>
            </c:spPr>
          </c:dPt>
          <c:dLbls/>
          <c:cat>
            <c:strRef>
              <c:f>Dashboard!$J$32:$J$35</c:f>
              <c:strCache>
                <c:ptCount val="4"/>
                <c:pt idx="0">
                  <c:v>Bande Verte</c:v>
                </c:pt>
                <c:pt idx="1">
                  <c:v>Bande Orange</c:v>
                </c:pt>
                <c:pt idx="2">
                  <c:v>Bande Rouge</c:v>
                </c:pt>
                <c:pt idx="3">
                  <c:v>Cache bas</c:v>
                </c:pt>
              </c:strCache>
            </c:strRef>
          </c:cat>
          <c:val>
            <c:numRef>
              <c:f>Dashboard!$K$32:$K$35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50</c:v>
                </c:pt>
              </c:numCache>
            </c:numRef>
          </c:val>
        </c:ser>
        <c:ser>
          <c:idx val="1"/>
          <c:order val="1"/>
          <c:tx>
            <c:v>Jauge – Absentéisme YTD actuel</c:v>
          </c:tx>
          <c:spPr>
            <a:ln>
              <a:noFill/>
            </a:ln>
          </c:spPr>
          <c:dPt>
            <c:idx val="0"/>
            <c:spPr>
              <a:solidFill>
                <a:srgbClr val="6B7280"/>
              </a:solidFill>
            </c:spPr>
          </c:dPt>
          <c:dPt>
            <c:idx val="1"/>
            <c:spPr>
              <a:solidFill>
                <a:srgbClr val="E0E0E0"/>
              </a:solidFill>
            </c:spPr>
          </c:dPt>
          <c:dPt>
            <c:idx val="2"/>
            <c:spPr>
              <a:noFill/>
            </c:spPr>
          </c:dPt>
          <c:dLbls/>
          <c:cat>
            <c:strRef>
              <c:f>Dashboard!$J$37:$J$39</c:f>
              <c:strCache>
                <c:ptCount val="3"/>
                <c:pt idx="0">
                  <c:v>Valeur (anneau)</c:v>
                </c:pt>
                <c:pt idx="1">
                  <c:v>Reste (anneau)</c:v>
                </c:pt>
                <c:pt idx="2">
                  <c:v>Cache bas</c:v>
                </c:pt>
              </c:strCache>
            </c:strRef>
          </c:cat>
          <c:val>
            <c:numRef>
              <c:f>Dashboard!$K$37:$K$39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50</c:v>
                </c:pt>
              </c:numCache>
            </c:numRef>
          </c:val>
        </c:ser>
        <c:firstSliceAng val="270"/>
        <c:holeSize val="60"/>
      </c:doughnutChart>
    </c:plotArea>
    <c:plotVisOnly val="1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Jauge – Formation/ETP (cap 20h)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Jauge – Formation/ETP (cap 20h) seuils</c:v>
          </c:tx>
          <c:spPr>
            <a:ln>
              <a:noFill/>
            </a:ln>
          </c:spPr>
          <c:dPt>
            <c:idx val="0"/>
            <c:spPr>
              <a:solidFill>
                <a:srgbClr val="10B981"/>
              </a:solidFill>
            </c:spPr>
          </c:dPt>
          <c:dPt>
            <c:idx val="1"/>
            <c:spPr>
              <a:solidFill>
                <a:srgbClr val="F59E0B"/>
              </a:solidFill>
            </c:spPr>
          </c:dPt>
          <c:dPt>
            <c:idx val="2"/>
            <c:spPr>
              <a:solidFill>
                <a:srgbClr val="EF4444"/>
              </a:solidFill>
            </c:spPr>
          </c:dPt>
          <c:dPt>
            <c:idx val="3"/>
            <c:spPr>
              <a:noFill/>
            </c:spPr>
          </c:dPt>
          <c:dLbls/>
          <c:cat>
            <c:strRef>
              <c:f>Dashboard!$J$49:$J$52</c:f>
              <c:strCache>
                <c:ptCount val="4"/>
                <c:pt idx="0">
                  <c:v>Bande Verte</c:v>
                </c:pt>
                <c:pt idx="1">
                  <c:v>Bande Orange</c:v>
                </c:pt>
                <c:pt idx="2">
                  <c:v>Bande Rouge</c:v>
                </c:pt>
                <c:pt idx="3">
                  <c:v>Cache bas</c:v>
                </c:pt>
              </c:strCache>
            </c:strRef>
          </c:cat>
          <c:val>
            <c:numRef>
              <c:f>Dashboard!$K$49:$K$52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50</c:v>
                </c:pt>
              </c:numCache>
            </c:numRef>
          </c:val>
        </c:ser>
        <c:ser>
          <c:idx val="1"/>
          <c:order val="1"/>
          <c:tx>
            <c:v>Jauge – Formation/ETP (cap 20h) actuel</c:v>
          </c:tx>
          <c:spPr>
            <a:ln>
              <a:noFill/>
            </a:ln>
          </c:spPr>
          <c:dPt>
            <c:idx val="0"/>
            <c:spPr>
              <a:solidFill>
                <a:srgbClr val="6B7280"/>
              </a:solidFill>
            </c:spPr>
          </c:dPt>
          <c:dPt>
            <c:idx val="1"/>
            <c:spPr>
              <a:solidFill>
                <a:srgbClr val="E0E0E0"/>
              </a:solidFill>
            </c:spPr>
          </c:dPt>
          <c:dPt>
            <c:idx val="2"/>
            <c:spPr>
              <a:noFill/>
            </c:spPr>
          </c:dPt>
          <c:dLbls/>
          <c:cat>
            <c:strRef>
              <c:f>Dashboard!$J$54:$J$56</c:f>
              <c:strCache>
                <c:ptCount val="3"/>
                <c:pt idx="0">
                  <c:v>Valeur (anneau)</c:v>
                </c:pt>
                <c:pt idx="1">
                  <c:v>Reste (anneau)</c:v>
                </c:pt>
                <c:pt idx="2">
                  <c:v>Cache bas</c:v>
                </c:pt>
              </c:strCache>
            </c:strRef>
          </c:cat>
          <c:val>
            <c:numRef>
              <c:f>Dashboard!$K$54:$K$56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50</c:v>
                </c:pt>
              </c:numCache>
            </c:numRef>
          </c:val>
        </c:ser>
        <c:firstSliceAng val="270"/>
        <c:holeSize val="60"/>
      </c:doughnutChart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0</xdr:rowOff>
    </xdr:from>
    <xdr:to>
      <xdr:col>4</xdr:col>
      <xdr:colOff>457200</xdr:colOff>
      <xdr:row>42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27</xdr:row>
      <xdr:rowOff>0</xdr:rowOff>
    </xdr:from>
    <xdr:to>
      <xdr:col>9</xdr:col>
      <xdr:colOff>114300</xdr:colOff>
      <xdr:row>42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51</xdr:row>
      <xdr:rowOff>0</xdr:rowOff>
    </xdr:from>
    <xdr:to>
      <xdr:col>4</xdr:col>
      <xdr:colOff>457200</xdr:colOff>
      <xdr:row>65</xdr:row>
      <xdr:rowOff>76200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0</xdr:colOff>
      <xdr:row>51</xdr:row>
      <xdr:rowOff>0</xdr:rowOff>
    </xdr:from>
    <xdr:to>
      <xdr:col>9</xdr:col>
      <xdr:colOff>114300</xdr:colOff>
      <xdr:row>65</xdr:row>
      <xdr:rowOff>76200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0</xdr:colOff>
      <xdr:row>15</xdr:row>
      <xdr:rowOff>0</xdr:rowOff>
    </xdr:from>
    <xdr:to>
      <xdr:col>13</xdr:col>
      <xdr:colOff>285750</xdr:colOff>
      <xdr:row>30</xdr:row>
      <xdr:rowOff>19050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0</xdr:colOff>
      <xdr:row>32</xdr:row>
      <xdr:rowOff>0</xdr:rowOff>
    </xdr:from>
    <xdr:to>
      <xdr:col>13</xdr:col>
      <xdr:colOff>285750</xdr:colOff>
      <xdr:row>47</xdr:row>
      <xdr:rowOff>19050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0</xdr:colOff>
      <xdr:row>49</xdr:row>
      <xdr:rowOff>0</xdr:rowOff>
    </xdr:from>
    <xdr:to>
      <xdr:col>13</xdr:col>
      <xdr:colOff>285750</xdr:colOff>
      <xdr:row>64</xdr:row>
      <xdr:rowOff>19050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3"/>
  <sheetViews>
    <sheetView tabSelected="1" workbookViewId="0"/>
  </sheetViews>
  <sheetFormatPr defaultRowHeight="15"/>
  <cols>
    <col min="1" max="1" width="16.7109375" customWidth="1"/>
    <col min="2" max="2" width="14.7109375" customWidth="1"/>
    <col min="3" max="9" width="16.7109375" customWidth="1"/>
    <col min="10" max="10" width="18.710937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3" spans="1:10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spans="1:10">
      <c r="A4" s="3">
        <v>45658</v>
      </c>
      <c r="B4" s="4" t="s">
        <v>11</v>
      </c>
      <c r="C4" s="5">
        <v>18</v>
      </c>
      <c r="D4" s="5">
        <v>1</v>
      </c>
      <c r="E4" s="5">
        <v>0</v>
      </c>
      <c r="F4" s="5">
        <v>8</v>
      </c>
      <c r="G4" s="5">
        <v>22</v>
      </c>
      <c r="H4" s="5">
        <v>10</v>
      </c>
      <c r="I4" s="5">
        <v>19</v>
      </c>
      <c r="J4" s="6">
        <v>57000</v>
      </c>
    </row>
    <row r="5" spans="1:10">
      <c r="A5" s="3">
        <v>45658</v>
      </c>
      <c r="B5" s="4" t="s">
        <v>12</v>
      </c>
      <c r="C5" s="5">
        <v>42</v>
      </c>
      <c r="D5" s="5">
        <v>2</v>
      </c>
      <c r="E5" s="5">
        <v>1</v>
      </c>
      <c r="F5" s="5">
        <v>40</v>
      </c>
      <c r="G5" s="5">
        <v>22</v>
      </c>
      <c r="H5" s="5">
        <v>20</v>
      </c>
      <c r="I5" s="5">
        <v>43</v>
      </c>
      <c r="J5" s="6">
        <v>103200</v>
      </c>
    </row>
    <row r="6" spans="1:10">
      <c r="A6" s="3">
        <v>45658</v>
      </c>
      <c r="B6" s="4" t="s">
        <v>13</v>
      </c>
      <c r="C6" s="5">
        <v>6</v>
      </c>
      <c r="D6" s="5">
        <v>0</v>
      </c>
      <c r="E6" s="5">
        <v>0</v>
      </c>
      <c r="F6" s="5">
        <v>3</v>
      </c>
      <c r="G6" s="5">
        <v>22</v>
      </c>
      <c r="H6" s="5">
        <v>6</v>
      </c>
      <c r="I6" s="5">
        <v>6</v>
      </c>
      <c r="J6" s="6">
        <v>16800</v>
      </c>
    </row>
    <row r="7" spans="1:10">
      <c r="A7" s="3">
        <v>45658</v>
      </c>
      <c r="B7" s="4" t="s">
        <v>14</v>
      </c>
      <c r="C7" s="5">
        <v>10</v>
      </c>
      <c r="D7" s="5">
        <v>1</v>
      </c>
      <c r="E7" s="5">
        <v>0</v>
      </c>
      <c r="F7" s="5">
        <v>5</v>
      </c>
      <c r="G7" s="5">
        <v>22</v>
      </c>
      <c r="H7" s="5">
        <v>12</v>
      </c>
      <c r="I7" s="5">
        <v>11</v>
      </c>
      <c r="J7" s="6">
        <v>41800</v>
      </c>
    </row>
    <row r="8" spans="1:10">
      <c r="A8" s="3">
        <v>45658</v>
      </c>
      <c r="B8" s="4" t="s">
        <v>15</v>
      </c>
      <c r="C8" s="5">
        <v>8</v>
      </c>
      <c r="D8" s="5">
        <v>0</v>
      </c>
      <c r="E8" s="5">
        <v>0</v>
      </c>
      <c r="F8" s="5">
        <v>4</v>
      </c>
      <c r="G8" s="5">
        <v>22</v>
      </c>
      <c r="H8" s="5">
        <v>8</v>
      </c>
      <c r="I8" s="5">
        <v>8</v>
      </c>
      <c r="J8" s="6">
        <v>25600</v>
      </c>
    </row>
    <row r="9" spans="1:10">
      <c r="A9" s="3">
        <v>45689</v>
      </c>
      <c r="B9" s="4" t="s">
        <v>11</v>
      </c>
      <c r="C9" s="5">
        <v>19</v>
      </c>
      <c r="D9" s="5">
        <v>0</v>
      </c>
      <c r="E9" s="5">
        <v>1</v>
      </c>
      <c r="F9" s="5">
        <v>10</v>
      </c>
      <c r="G9" s="5">
        <v>20</v>
      </c>
      <c r="H9" s="5">
        <v>8</v>
      </c>
      <c r="I9" s="5">
        <v>18</v>
      </c>
      <c r="J9" s="6">
        <v>54000</v>
      </c>
    </row>
    <row r="10" spans="1:10">
      <c r="A10" s="3">
        <v>45689</v>
      </c>
      <c r="B10" s="4" t="s">
        <v>12</v>
      </c>
      <c r="C10" s="5">
        <v>43</v>
      </c>
      <c r="D10" s="5">
        <v>1</v>
      </c>
      <c r="E10" s="5">
        <v>1</v>
      </c>
      <c r="F10" s="5">
        <v>42</v>
      </c>
      <c r="G10" s="5">
        <v>20</v>
      </c>
      <c r="H10" s="5">
        <v>24</v>
      </c>
      <c r="I10" s="5">
        <v>43</v>
      </c>
      <c r="J10" s="6">
        <v>103200</v>
      </c>
    </row>
    <row r="11" spans="1:10">
      <c r="A11" s="3">
        <v>45689</v>
      </c>
      <c r="B11" s="4" t="s">
        <v>13</v>
      </c>
      <c r="C11" s="5">
        <v>6</v>
      </c>
      <c r="D11" s="5">
        <v>1</v>
      </c>
      <c r="E11" s="5">
        <v>0</v>
      </c>
      <c r="F11" s="5">
        <v>4</v>
      </c>
      <c r="G11" s="5">
        <v>20</v>
      </c>
      <c r="H11" s="5">
        <v>4</v>
      </c>
      <c r="I11" s="5">
        <v>7</v>
      </c>
      <c r="J11" s="6">
        <v>19600</v>
      </c>
    </row>
    <row r="12" spans="1:10">
      <c r="A12" s="3">
        <v>45689</v>
      </c>
      <c r="B12" s="4" t="s">
        <v>14</v>
      </c>
      <c r="C12" s="5">
        <v>11</v>
      </c>
      <c r="D12" s="5">
        <v>0</v>
      </c>
      <c r="E12" s="5">
        <v>0</v>
      </c>
      <c r="F12" s="5">
        <v>6</v>
      </c>
      <c r="G12" s="5">
        <v>20</v>
      </c>
      <c r="H12" s="5">
        <v>10</v>
      </c>
      <c r="I12" s="5">
        <v>11</v>
      </c>
      <c r="J12" s="6">
        <v>41800</v>
      </c>
    </row>
    <row r="13" spans="1:10">
      <c r="A13" s="3">
        <v>45689</v>
      </c>
      <c r="B13" s="4" t="s">
        <v>15</v>
      </c>
      <c r="C13" s="5">
        <v>8</v>
      </c>
      <c r="D13" s="5">
        <v>1</v>
      </c>
      <c r="E13" s="5">
        <v>0</v>
      </c>
      <c r="F13" s="5">
        <v>5</v>
      </c>
      <c r="G13" s="5">
        <v>20</v>
      </c>
      <c r="H13" s="5">
        <v>6</v>
      </c>
      <c r="I13" s="5">
        <v>9</v>
      </c>
      <c r="J13" s="6">
        <v>28800</v>
      </c>
    </row>
    <row r="14" spans="1:10">
      <c r="A14" s="3">
        <v>45717</v>
      </c>
      <c r="B14" s="4" t="s">
        <v>11</v>
      </c>
      <c r="C14" s="5">
        <v>18</v>
      </c>
      <c r="D14" s="5">
        <v>1</v>
      </c>
      <c r="E14" s="5">
        <v>0</v>
      </c>
      <c r="F14" s="5">
        <v>7</v>
      </c>
      <c r="G14" s="5">
        <v>21</v>
      </c>
      <c r="H14" s="5">
        <v>12</v>
      </c>
      <c r="I14" s="5">
        <v>19</v>
      </c>
      <c r="J14" s="6">
        <v>57000</v>
      </c>
    </row>
    <row r="15" spans="1:10">
      <c r="A15" s="3">
        <v>45717</v>
      </c>
      <c r="B15" s="4" t="s">
        <v>12</v>
      </c>
      <c r="C15" s="5">
        <v>43</v>
      </c>
      <c r="D15" s="5">
        <v>2</v>
      </c>
      <c r="E15" s="5">
        <v>1</v>
      </c>
      <c r="F15" s="5">
        <v>35</v>
      </c>
      <c r="G15" s="5">
        <v>21</v>
      </c>
      <c r="H15" s="5">
        <v>22</v>
      </c>
      <c r="I15" s="5">
        <v>44</v>
      </c>
      <c r="J15" s="6">
        <v>105600</v>
      </c>
    </row>
    <row r="16" spans="1:10">
      <c r="A16" s="3">
        <v>45717</v>
      </c>
      <c r="B16" s="4" t="s">
        <v>13</v>
      </c>
      <c r="C16" s="5">
        <v>7</v>
      </c>
      <c r="D16" s="5">
        <v>0</v>
      </c>
      <c r="E16" s="5">
        <v>0</v>
      </c>
      <c r="F16" s="5">
        <v>2</v>
      </c>
      <c r="G16" s="5">
        <v>21</v>
      </c>
      <c r="H16" s="5">
        <v>8</v>
      </c>
      <c r="I16" s="5">
        <v>7</v>
      </c>
      <c r="J16" s="6">
        <v>19600</v>
      </c>
    </row>
    <row r="17" spans="1:10">
      <c r="A17" s="3">
        <v>45717</v>
      </c>
      <c r="B17" s="4" t="s">
        <v>14</v>
      </c>
      <c r="C17" s="5">
        <v>11</v>
      </c>
      <c r="D17" s="5">
        <v>1</v>
      </c>
      <c r="E17" s="5">
        <v>1</v>
      </c>
      <c r="F17" s="5">
        <v>4</v>
      </c>
      <c r="G17" s="5">
        <v>21</v>
      </c>
      <c r="H17" s="5">
        <v>16</v>
      </c>
      <c r="I17" s="5">
        <v>11</v>
      </c>
      <c r="J17" s="6">
        <v>41800</v>
      </c>
    </row>
    <row r="18" spans="1:10">
      <c r="A18" s="3">
        <v>45717</v>
      </c>
      <c r="B18" s="4" t="s">
        <v>15</v>
      </c>
      <c r="C18" s="5">
        <v>9</v>
      </c>
      <c r="D18" s="5">
        <v>0</v>
      </c>
      <c r="E18" s="5">
        <v>0</v>
      </c>
      <c r="F18" s="5">
        <v>4</v>
      </c>
      <c r="G18" s="5">
        <v>21</v>
      </c>
      <c r="H18" s="5">
        <v>10</v>
      </c>
      <c r="I18" s="5">
        <v>9</v>
      </c>
      <c r="J18" s="6">
        <v>28800</v>
      </c>
    </row>
    <row r="19" spans="1:10">
      <c r="A19" s="3">
        <v>45748</v>
      </c>
      <c r="B19" s="4" t="s">
        <v>11</v>
      </c>
      <c r="C19" s="5">
        <v>19</v>
      </c>
      <c r="D19" s="5">
        <v>0</v>
      </c>
      <c r="E19" s="5">
        <v>1</v>
      </c>
      <c r="F19" s="5">
        <v>9</v>
      </c>
      <c r="G19" s="5">
        <v>22</v>
      </c>
      <c r="H19" s="5">
        <v>6</v>
      </c>
      <c r="I19" s="5">
        <v>18</v>
      </c>
      <c r="J19" s="6">
        <v>54000</v>
      </c>
    </row>
    <row r="20" spans="1:10">
      <c r="A20" s="3">
        <v>45748</v>
      </c>
      <c r="B20" s="4" t="s">
        <v>12</v>
      </c>
      <c r="C20" s="5">
        <v>44</v>
      </c>
      <c r="D20" s="5">
        <v>1</v>
      </c>
      <c r="E20" s="5">
        <v>2</v>
      </c>
      <c r="F20" s="5">
        <v>38</v>
      </c>
      <c r="G20" s="5">
        <v>22</v>
      </c>
      <c r="H20" s="5">
        <v>20</v>
      </c>
      <c r="I20" s="5">
        <v>43</v>
      </c>
      <c r="J20" s="6">
        <v>103200</v>
      </c>
    </row>
    <row r="21" spans="1:10">
      <c r="A21" s="3">
        <v>45748</v>
      </c>
      <c r="B21" s="4" t="s">
        <v>13</v>
      </c>
      <c r="C21" s="5">
        <v>7</v>
      </c>
      <c r="D21" s="5">
        <v>0</v>
      </c>
      <c r="E21" s="5">
        <v>1</v>
      </c>
      <c r="F21" s="5">
        <v>4</v>
      </c>
      <c r="G21" s="5">
        <v>22</v>
      </c>
      <c r="H21" s="5">
        <v>3</v>
      </c>
      <c r="I21" s="5">
        <v>6</v>
      </c>
      <c r="J21" s="6">
        <v>16800</v>
      </c>
    </row>
    <row r="22" spans="1:10">
      <c r="A22" s="3">
        <v>45748</v>
      </c>
      <c r="B22" s="4" t="s">
        <v>14</v>
      </c>
      <c r="C22" s="5">
        <v>11</v>
      </c>
      <c r="D22" s="5">
        <v>0</v>
      </c>
      <c r="E22" s="5">
        <v>0</v>
      </c>
      <c r="F22" s="5">
        <v>5</v>
      </c>
      <c r="G22" s="5">
        <v>22</v>
      </c>
      <c r="H22" s="5">
        <v>8</v>
      </c>
      <c r="I22" s="5">
        <v>11</v>
      </c>
      <c r="J22" s="6">
        <v>41800</v>
      </c>
    </row>
    <row r="23" spans="1:10">
      <c r="A23" s="3">
        <v>45748</v>
      </c>
      <c r="B23" s="4" t="s">
        <v>15</v>
      </c>
      <c r="C23" s="5">
        <v>9</v>
      </c>
      <c r="D23" s="5">
        <v>1</v>
      </c>
      <c r="E23" s="5">
        <v>0</v>
      </c>
      <c r="F23" s="5">
        <v>5</v>
      </c>
      <c r="G23" s="5">
        <v>22</v>
      </c>
      <c r="H23" s="5">
        <v>6</v>
      </c>
      <c r="I23" s="5">
        <v>10</v>
      </c>
      <c r="J23" s="6">
        <v>32000</v>
      </c>
    </row>
    <row r="24" spans="1:10">
      <c r="A24" s="3">
        <v>45778</v>
      </c>
      <c r="B24" s="4" t="s">
        <v>11</v>
      </c>
      <c r="C24" s="5">
        <v>18</v>
      </c>
      <c r="D24" s="5">
        <v>1</v>
      </c>
      <c r="E24" s="5">
        <v>0</v>
      </c>
      <c r="F24" s="5">
        <v>8</v>
      </c>
      <c r="G24" s="5">
        <v>21</v>
      </c>
      <c r="H24" s="5">
        <v>10</v>
      </c>
      <c r="I24" s="5">
        <v>19</v>
      </c>
      <c r="J24" s="6">
        <v>57000</v>
      </c>
    </row>
    <row r="25" spans="1:10">
      <c r="A25" s="3">
        <v>45778</v>
      </c>
      <c r="B25" s="4" t="s">
        <v>12</v>
      </c>
      <c r="C25" s="5">
        <v>43</v>
      </c>
      <c r="D25" s="5">
        <v>2</v>
      </c>
      <c r="E25" s="5">
        <v>1</v>
      </c>
      <c r="F25" s="5">
        <v>40</v>
      </c>
      <c r="G25" s="5">
        <v>21</v>
      </c>
      <c r="H25" s="5">
        <v>26</v>
      </c>
      <c r="I25" s="5">
        <v>44</v>
      </c>
      <c r="J25" s="6">
        <v>105600</v>
      </c>
    </row>
    <row r="26" spans="1:10">
      <c r="A26" s="3">
        <v>45778</v>
      </c>
      <c r="B26" s="4" t="s">
        <v>13</v>
      </c>
      <c r="C26" s="5">
        <v>6</v>
      </c>
      <c r="D26" s="5">
        <v>1</v>
      </c>
      <c r="E26" s="5">
        <v>0</v>
      </c>
      <c r="F26" s="5">
        <v>3</v>
      </c>
      <c r="G26" s="5">
        <v>21</v>
      </c>
      <c r="H26" s="5">
        <v>6</v>
      </c>
      <c r="I26" s="5">
        <v>7</v>
      </c>
      <c r="J26" s="6">
        <v>19600</v>
      </c>
    </row>
    <row r="27" spans="1:10">
      <c r="A27" s="3">
        <v>45778</v>
      </c>
      <c r="B27" s="4" t="s">
        <v>14</v>
      </c>
      <c r="C27" s="5">
        <v>11</v>
      </c>
      <c r="D27" s="5">
        <v>1</v>
      </c>
      <c r="E27" s="5">
        <v>0</v>
      </c>
      <c r="F27" s="5">
        <v>5</v>
      </c>
      <c r="G27" s="5">
        <v>21</v>
      </c>
      <c r="H27" s="5">
        <v>14</v>
      </c>
      <c r="I27" s="5">
        <v>12</v>
      </c>
      <c r="J27" s="6">
        <v>45600</v>
      </c>
    </row>
    <row r="28" spans="1:10">
      <c r="A28" s="3">
        <v>45778</v>
      </c>
      <c r="B28" s="4" t="s">
        <v>15</v>
      </c>
      <c r="C28" s="5">
        <v>10</v>
      </c>
      <c r="D28" s="5">
        <v>0</v>
      </c>
      <c r="E28" s="5">
        <v>1</v>
      </c>
      <c r="F28" s="5">
        <v>4</v>
      </c>
      <c r="G28" s="5">
        <v>21</v>
      </c>
      <c r="H28" s="5">
        <v>8</v>
      </c>
      <c r="I28" s="5">
        <v>9</v>
      </c>
      <c r="J28" s="6">
        <v>28800</v>
      </c>
    </row>
    <row r="29" spans="1:10">
      <c r="A29" s="3">
        <v>45809</v>
      </c>
      <c r="B29" s="4" t="s">
        <v>11</v>
      </c>
      <c r="C29" s="5">
        <v>19</v>
      </c>
      <c r="D29" s="5">
        <v>0</v>
      </c>
      <c r="E29" s="5">
        <v>1</v>
      </c>
      <c r="F29" s="5">
        <v>7</v>
      </c>
      <c r="G29" s="5">
        <v>20</v>
      </c>
      <c r="H29" s="5">
        <v>8</v>
      </c>
      <c r="I29" s="5">
        <v>18</v>
      </c>
      <c r="J29" s="6">
        <v>54000</v>
      </c>
    </row>
    <row r="30" spans="1:10">
      <c r="A30" s="3">
        <v>45809</v>
      </c>
      <c r="B30" s="4" t="s">
        <v>12</v>
      </c>
      <c r="C30" s="5">
        <v>44</v>
      </c>
      <c r="D30" s="5">
        <v>1</v>
      </c>
      <c r="E30" s="5">
        <v>2</v>
      </c>
      <c r="F30" s="5">
        <v>36</v>
      </c>
      <c r="G30" s="5">
        <v>20</v>
      </c>
      <c r="H30" s="5">
        <v>22</v>
      </c>
      <c r="I30" s="5">
        <v>43</v>
      </c>
      <c r="J30" s="6">
        <v>103200</v>
      </c>
    </row>
    <row r="31" spans="1:10">
      <c r="A31" s="3">
        <v>45809</v>
      </c>
      <c r="B31" s="4" t="s">
        <v>13</v>
      </c>
      <c r="C31" s="5">
        <v>7</v>
      </c>
      <c r="D31" s="5">
        <v>0</v>
      </c>
      <c r="E31" s="5">
        <v>0</v>
      </c>
      <c r="F31" s="5">
        <v>3</v>
      </c>
      <c r="G31" s="5">
        <v>20</v>
      </c>
      <c r="H31" s="5">
        <v>4</v>
      </c>
      <c r="I31" s="5">
        <v>7</v>
      </c>
      <c r="J31" s="6">
        <v>19600</v>
      </c>
    </row>
    <row r="32" spans="1:10">
      <c r="A32" s="3">
        <v>45809</v>
      </c>
      <c r="B32" s="4" t="s">
        <v>14</v>
      </c>
      <c r="C32" s="5">
        <v>12</v>
      </c>
      <c r="D32" s="5">
        <v>0</v>
      </c>
      <c r="E32" s="5">
        <v>1</v>
      </c>
      <c r="F32" s="5">
        <v>4</v>
      </c>
      <c r="G32" s="5">
        <v>20</v>
      </c>
      <c r="H32" s="5">
        <v>12</v>
      </c>
      <c r="I32" s="5">
        <v>11</v>
      </c>
      <c r="J32" s="6">
        <v>41800</v>
      </c>
    </row>
    <row r="33" spans="1:10">
      <c r="A33" s="3">
        <v>45809</v>
      </c>
      <c r="B33" s="4" t="s">
        <v>15</v>
      </c>
      <c r="C33" s="5">
        <v>9</v>
      </c>
      <c r="D33" s="5">
        <v>0</v>
      </c>
      <c r="E33" s="5">
        <v>0</v>
      </c>
      <c r="F33" s="5">
        <v>4</v>
      </c>
      <c r="G33" s="5">
        <v>20</v>
      </c>
      <c r="H33" s="5">
        <v>6</v>
      </c>
      <c r="I33" s="5">
        <v>9</v>
      </c>
      <c r="J33" s="6">
        <v>28800</v>
      </c>
    </row>
    <row r="34" spans="1:10">
      <c r="A34" s="3">
        <v>45839</v>
      </c>
      <c r="B34" s="4" t="s">
        <v>11</v>
      </c>
      <c r="C34" s="5">
        <v>18</v>
      </c>
      <c r="D34" s="5">
        <v>1</v>
      </c>
      <c r="E34" s="5">
        <v>0</v>
      </c>
      <c r="F34" s="5">
        <v>8</v>
      </c>
      <c r="G34" s="5">
        <v>23</v>
      </c>
      <c r="H34" s="5">
        <v>10</v>
      </c>
      <c r="I34" s="5">
        <v>19</v>
      </c>
      <c r="J34" s="6">
        <v>57000</v>
      </c>
    </row>
    <row r="35" spans="1:10">
      <c r="A35" s="3">
        <v>45839</v>
      </c>
      <c r="B35" s="4" t="s">
        <v>12</v>
      </c>
      <c r="C35" s="5">
        <v>43</v>
      </c>
      <c r="D35" s="5">
        <v>2</v>
      </c>
      <c r="E35" s="5">
        <v>1</v>
      </c>
      <c r="F35" s="5">
        <v>40</v>
      </c>
      <c r="G35" s="5">
        <v>23</v>
      </c>
      <c r="H35" s="5">
        <v>20</v>
      </c>
      <c r="I35" s="5">
        <v>44</v>
      </c>
      <c r="J35" s="6">
        <v>105600</v>
      </c>
    </row>
    <row r="36" spans="1:10">
      <c r="A36" s="3">
        <v>45839</v>
      </c>
      <c r="B36" s="4" t="s">
        <v>13</v>
      </c>
      <c r="C36" s="5">
        <v>7</v>
      </c>
      <c r="D36" s="5">
        <v>0</v>
      </c>
      <c r="E36" s="5">
        <v>0</v>
      </c>
      <c r="F36" s="5">
        <v>3</v>
      </c>
      <c r="G36" s="5">
        <v>23</v>
      </c>
      <c r="H36" s="5">
        <v>6</v>
      </c>
      <c r="I36" s="5">
        <v>7</v>
      </c>
      <c r="J36" s="6">
        <v>19600</v>
      </c>
    </row>
    <row r="37" spans="1:10">
      <c r="A37" s="3">
        <v>45839</v>
      </c>
      <c r="B37" s="4" t="s">
        <v>14</v>
      </c>
      <c r="C37" s="5">
        <v>11</v>
      </c>
      <c r="D37" s="5">
        <v>1</v>
      </c>
      <c r="E37" s="5">
        <v>0</v>
      </c>
      <c r="F37" s="5">
        <v>5</v>
      </c>
      <c r="G37" s="5">
        <v>23</v>
      </c>
      <c r="H37" s="5">
        <v>12</v>
      </c>
      <c r="I37" s="5">
        <v>12</v>
      </c>
      <c r="J37" s="6">
        <v>45600</v>
      </c>
    </row>
    <row r="38" spans="1:10">
      <c r="A38" s="3">
        <v>45839</v>
      </c>
      <c r="B38" s="4" t="s">
        <v>15</v>
      </c>
      <c r="C38" s="5">
        <v>9</v>
      </c>
      <c r="D38" s="5">
        <v>0</v>
      </c>
      <c r="E38" s="5">
        <v>0</v>
      </c>
      <c r="F38" s="5">
        <v>4</v>
      </c>
      <c r="G38" s="5">
        <v>23</v>
      </c>
      <c r="H38" s="5">
        <v>8</v>
      </c>
      <c r="I38" s="5">
        <v>9</v>
      </c>
      <c r="J38" s="6">
        <v>28800</v>
      </c>
    </row>
    <row r="39" spans="1:10">
      <c r="A39" s="3">
        <v>45870</v>
      </c>
      <c r="B39" s="4" t="s">
        <v>11</v>
      </c>
      <c r="C39" s="5">
        <v>19</v>
      </c>
      <c r="D39" s="5">
        <v>0</v>
      </c>
      <c r="E39" s="5">
        <v>1</v>
      </c>
      <c r="F39" s="5">
        <v>10</v>
      </c>
      <c r="G39" s="5">
        <v>21</v>
      </c>
      <c r="H39" s="5">
        <v>8</v>
      </c>
      <c r="I39" s="5">
        <v>18</v>
      </c>
      <c r="J39" s="6">
        <v>54000</v>
      </c>
    </row>
    <row r="40" spans="1:10">
      <c r="A40" s="3">
        <v>45870</v>
      </c>
      <c r="B40" s="4" t="s">
        <v>12</v>
      </c>
      <c r="C40" s="5">
        <v>44</v>
      </c>
      <c r="D40" s="5">
        <v>1</v>
      </c>
      <c r="E40" s="5">
        <v>1</v>
      </c>
      <c r="F40" s="5">
        <v>42</v>
      </c>
      <c r="G40" s="5">
        <v>21</v>
      </c>
      <c r="H40" s="5">
        <v>24</v>
      </c>
      <c r="I40" s="5">
        <v>44</v>
      </c>
      <c r="J40" s="6">
        <v>105600</v>
      </c>
    </row>
    <row r="41" spans="1:10">
      <c r="A41" s="3">
        <v>45870</v>
      </c>
      <c r="B41" s="4" t="s">
        <v>13</v>
      </c>
      <c r="C41" s="5">
        <v>7</v>
      </c>
      <c r="D41" s="5">
        <v>1</v>
      </c>
      <c r="E41" s="5">
        <v>0</v>
      </c>
      <c r="F41" s="5">
        <v>4</v>
      </c>
      <c r="G41" s="5">
        <v>21</v>
      </c>
      <c r="H41" s="5">
        <v>4</v>
      </c>
      <c r="I41" s="5">
        <v>8</v>
      </c>
      <c r="J41" s="6">
        <v>22400</v>
      </c>
    </row>
    <row r="42" spans="1:10">
      <c r="A42" s="3">
        <v>45870</v>
      </c>
      <c r="B42" s="4" t="s">
        <v>14</v>
      </c>
      <c r="C42" s="5">
        <v>12</v>
      </c>
      <c r="D42" s="5">
        <v>0</v>
      </c>
      <c r="E42" s="5">
        <v>0</v>
      </c>
      <c r="F42" s="5">
        <v>6</v>
      </c>
      <c r="G42" s="5">
        <v>21</v>
      </c>
      <c r="H42" s="5">
        <v>10</v>
      </c>
      <c r="I42" s="5">
        <v>12</v>
      </c>
      <c r="J42" s="6">
        <v>45600</v>
      </c>
    </row>
    <row r="43" spans="1:10">
      <c r="A43" s="3">
        <v>45870</v>
      </c>
      <c r="B43" s="4" t="s">
        <v>15</v>
      </c>
      <c r="C43" s="5">
        <v>9</v>
      </c>
      <c r="D43" s="5">
        <v>1</v>
      </c>
      <c r="E43" s="5">
        <v>0</v>
      </c>
      <c r="F43" s="5">
        <v>5</v>
      </c>
      <c r="G43" s="5">
        <v>21</v>
      </c>
      <c r="H43" s="5">
        <v>6</v>
      </c>
      <c r="I43" s="5">
        <v>10</v>
      </c>
      <c r="J43" s="6">
        <v>32000</v>
      </c>
    </row>
    <row r="44" spans="1:10">
      <c r="A44" s="3">
        <v>45901</v>
      </c>
      <c r="B44" s="4" t="s">
        <v>11</v>
      </c>
      <c r="C44" s="5">
        <v>18</v>
      </c>
      <c r="D44" s="5">
        <v>1</v>
      </c>
      <c r="E44" s="5">
        <v>0</v>
      </c>
      <c r="F44" s="5">
        <v>7</v>
      </c>
      <c r="G44" s="5">
        <v>21</v>
      </c>
      <c r="H44" s="5">
        <v>12</v>
      </c>
      <c r="I44" s="5">
        <v>19</v>
      </c>
      <c r="J44" s="6">
        <v>57000</v>
      </c>
    </row>
    <row r="45" spans="1:10">
      <c r="A45" s="3">
        <v>45901</v>
      </c>
      <c r="B45" s="4" t="s">
        <v>12</v>
      </c>
      <c r="C45" s="5">
        <v>44</v>
      </c>
      <c r="D45" s="5">
        <v>2</v>
      </c>
      <c r="E45" s="5">
        <v>1</v>
      </c>
      <c r="F45" s="5">
        <v>35</v>
      </c>
      <c r="G45" s="5">
        <v>21</v>
      </c>
      <c r="H45" s="5">
        <v>22</v>
      </c>
      <c r="I45" s="5">
        <v>45</v>
      </c>
      <c r="J45" s="6">
        <v>108000</v>
      </c>
    </row>
    <row r="46" spans="1:10">
      <c r="A46" s="3">
        <v>45901</v>
      </c>
      <c r="B46" s="4" t="s">
        <v>13</v>
      </c>
      <c r="C46" s="5">
        <v>8</v>
      </c>
      <c r="D46" s="5">
        <v>0</v>
      </c>
      <c r="E46" s="5">
        <v>0</v>
      </c>
      <c r="F46" s="5">
        <v>2</v>
      </c>
      <c r="G46" s="5">
        <v>21</v>
      </c>
      <c r="H46" s="5">
        <v>8</v>
      </c>
      <c r="I46" s="5">
        <v>8</v>
      </c>
      <c r="J46" s="6">
        <v>22400</v>
      </c>
    </row>
    <row r="47" spans="1:10">
      <c r="A47" s="3">
        <v>45901</v>
      </c>
      <c r="B47" s="4" t="s">
        <v>14</v>
      </c>
      <c r="C47" s="5">
        <v>12</v>
      </c>
      <c r="D47" s="5">
        <v>1</v>
      </c>
      <c r="E47" s="5">
        <v>1</v>
      </c>
      <c r="F47" s="5">
        <v>4</v>
      </c>
      <c r="G47" s="5">
        <v>21</v>
      </c>
      <c r="H47" s="5">
        <v>16</v>
      </c>
      <c r="I47" s="5">
        <v>12</v>
      </c>
      <c r="J47" s="6">
        <v>45600</v>
      </c>
    </row>
    <row r="48" spans="1:10">
      <c r="A48" s="3">
        <v>45901</v>
      </c>
      <c r="B48" s="4" t="s">
        <v>15</v>
      </c>
      <c r="C48" s="5">
        <v>10</v>
      </c>
      <c r="D48" s="5">
        <v>0</v>
      </c>
      <c r="E48" s="5">
        <v>0</v>
      </c>
      <c r="F48" s="5">
        <v>4</v>
      </c>
      <c r="G48" s="5">
        <v>21</v>
      </c>
      <c r="H48" s="5">
        <v>10</v>
      </c>
      <c r="I48" s="5">
        <v>10</v>
      </c>
      <c r="J48" s="6">
        <v>32000</v>
      </c>
    </row>
    <row r="49" spans="1:10">
      <c r="A49" s="3">
        <v>45931</v>
      </c>
      <c r="B49" s="4" t="s">
        <v>11</v>
      </c>
      <c r="C49" s="5">
        <v>19</v>
      </c>
      <c r="D49" s="5">
        <v>0</v>
      </c>
      <c r="E49" s="5">
        <v>1</v>
      </c>
      <c r="F49" s="5">
        <v>9</v>
      </c>
      <c r="G49" s="5">
        <v>23</v>
      </c>
      <c r="H49" s="5">
        <v>6</v>
      </c>
      <c r="I49" s="5">
        <v>18</v>
      </c>
      <c r="J49" s="6">
        <v>54000</v>
      </c>
    </row>
    <row r="50" spans="1:10">
      <c r="A50" s="3">
        <v>45931</v>
      </c>
      <c r="B50" s="4" t="s">
        <v>12</v>
      </c>
      <c r="C50" s="5">
        <v>45</v>
      </c>
      <c r="D50" s="5">
        <v>1</v>
      </c>
      <c r="E50" s="5">
        <v>2</v>
      </c>
      <c r="F50" s="5">
        <v>38</v>
      </c>
      <c r="G50" s="5">
        <v>23</v>
      </c>
      <c r="H50" s="5">
        <v>20</v>
      </c>
      <c r="I50" s="5">
        <v>44</v>
      </c>
      <c r="J50" s="6">
        <v>105600</v>
      </c>
    </row>
    <row r="51" spans="1:10">
      <c r="A51" s="3">
        <v>45931</v>
      </c>
      <c r="B51" s="4" t="s">
        <v>13</v>
      </c>
      <c r="C51" s="5">
        <v>8</v>
      </c>
      <c r="D51" s="5">
        <v>0</v>
      </c>
      <c r="E51" s="5">
        <v>1</v>
      </c>
      <c r="F51" s="5">
        <v>4</v>
      </c>
      <c r="G51" s="5">
        <v>23</v>
      </c>
      <c r="H51" s="5">
        <v>3</v>
      </c>
      <c r="I51" s="5">
        <v>7</v>
      </c>
      <c r="J51" s="6">
        <v>19600</v>
      </c>
    </row>
    <row r="52" spans="1:10">
      <c r="A52" s="3">
        <v>45931</v>
      </c>
      <c r="B52" s="4" t="s">
        <v>14</v>
      </c>
      <c r="C52" s="5">
        <v>12</v>
      </c>
      <c r="D52" s="5">
        <v>0</v>
      </c>
      <c r="E52" s="5">
        <v>0</v>
      </c>
      <c r="F52" s="5">
        <v>5</v>
      </c>
      <c r="G52" s="5">
        <v>23</v>
      </c>
      <c r="H52" s="5">
        <v>8</v>
      </c>
      <c r="I52" s="5">
        <v>12</v>
      </c>
      <c r="J52" s="6">
        <v>45600</v>
      </c>
    </row>
    <row r="53" spans="1:10">
      <c r="A53" s="3">
        <v>45931</v>
      </c>
      <c r="B53" s="4" t="s">
        <v>15</v>
      </c>
      <c r="C53" s="5">
        <v>10</v>
      </c>
      <c r="D53" s="5">
        <v>1</v>
      </c>
      <c r="E53" s="5">
        <v>0</v>
      </c>
      <c r="F53" s="5">
        <v>5</v>
      </c>
      <c r="G53" s="5">
        <v>23</v>
      </c>
      <c r="H53" s="5">
        <v>6</v>
      </c>
      <c r="I53" s="5">
        <v>11</v>
      </c>
      <c r="J53" s="6">
        <v>35200</v>
      </c>
    </row>
    <row r="54" spans="1:10">
      <c r="A54" s="3">
        <v>45962</v>
      </c>
      <c r="B54" s="4" t="s">
        <v>11</v>
      </c>
      <c r="C54" s="5">
        <v>18</v>
      </c>
      <c r="D54" s="5">
        <v>1</v>
      </c>
      <c r="E54" s="5">
        <v>0</v>
      </c>
      <c r="F54" s="5">
        <v>8</v>
      </c>
      <c r="G54" s="5">
        <v>20</v>
      </c>
      <c r="H54" s="5">
        <v>10</v>
      </c>
      <c r="I54" s="5">
        <v>19</v>
      </c>
      <c r="J54" s="6">
        <v>57000</v>
      </c>
    </row>
    <row r="55" spans="1:10">
      <c r="A55" s="3">
        <v>45962</v>
      </c>
      <c r="B55" s="4" t="s">
        <v>12</v>
      </c>
      <c r="C55" s="5">
        <v>44</v>
      </c>
      <c r="D55" s="5">
        <v>2</v>
      </c>
      <c r="E55" s="5">
        <v>1</v>
      </c>
      <c r="F55" s="5">
        <v>40</v>
      </c>
      <c r="G55" s="5">
        <v>20</v>
      </c>
      <c r="H55" s="5">
        <v>26</v>
      </c>
      <c r="I55" s="5">
        <v>45</v>
      </c>
      <c r="J55" s="6">
        <v>108000</v>
      </c>
    </row>
    <row r="56" spans="1:10">
      <c r="A56" s="3">
        <v>45962</v>
      </c>
      <c r="B56" s="4" t="s">
        <v>13</v>
      </c>
      <c r="C56" s="5">
        <v>7</v>
      </c>
      <c r="D56" s="5">
        <v>1</v>
      </c>
      <c r="E56" s="5">
        <v>0</v>
      </c>
      <c r="F56" s="5">
        <v>3</v>
      </c>
      <c r="G56" s="5">
        <v>20</v>
      </c>
      <c r="H56" s="5">
        <v>6</v>
      </c>
      <c r="I56" s="5">
        <v>8</v>
      </c>
      <c r="J56" s="6">
        <v>22400</v>
      </c>
    </row>
    <row r="57" spans="1:10">
      <c r="A57" s="3">
        <v>45962</v>
      </c>
      <c r="B57" s="4" t="s">
        <v>14</v>
      </c>
      <c r="C57" s="5">
        <v>12</v>
      </c>
      <c r="D57" s="5">
        <v>1</v>
      </c>
      <c r="E57" s="5">
        <v>0</v>
      </c>
      <c r="F57" s="5">
        <v>5</v>
      </c>
      <c r="G57" s="5">
        <v>20</v>
      </c>
      <c r="H57" s="5">
        <v>14</v>
      </c>
      <c r="I57" s="5">
        <v>13</v>
      </c>
      <c r="J57" s="6">
        <v>49400</v>
      </c>
    </row>
    <row r="58" spans="1:10">
      <c r="A58" s="3">
        <v>45962</v>
      </c>
      <c r="B58" s="4" t="s">
        <v>15</v>
      </c>
      <c r="C58" s="5">
        <v>11</v>
      </c>
      <c r="D58" s="5">
        <v>0</v>
      </c>
      <c r="E58" s="5">
        <v>1</v>
      </c>
      <c r="F58" s="5">
        <v>4</v>
      </c>
      <c r="G58" s="5">
        <v>20</v>
      </c>
      <c r="H58" s="5">
        <v>8</v>
      </c>
      <c r="I58" s="5">
        <v>10</v>
      </c>
      <c r="J58" s="6">
        <v>32000</v>
      </c>
    </row>
    <row r="59" spans="1:10">
      <c r="A59" s="3">
        <v>45992</v>
      </c>
      <c r="B59" s="4" t="s">
        <v>11</v>
      </c>
      <c r="C59" s="5">
        <v>19</v>
      </c>
      <c r="D59" s="5">
        <v>0</v>
      </c>
      <c r="E59" s="5">
        <v>1</v>
      </c>
      <c r="F59" s="5">
        <v>7</v>
      </c>
      <c r="G59" s="5">
        <v>21</v>
      </c>
      <c r="H59" s="5">
        <v>8</v>
      </c>
      <c r="I59" s="5">
        <v>18</v>
      </c>
      <c r="J59" s="6">
        <v>54000</v>
      </c>
    </row>
    <row r="60" spans="1:10">
      <c r="A60" s="3">
        <v>45992</v>
      </c>
      <c r="B60" s="4" t="s">
        <v>12</v>
      </c>
      <c r="C60" s="5">
        <v>45</v>
      </c>
      <c r="D60" s="5">
        <v>1</v>
      </c>
      <c r="E60" s="5">
        <v>2</v>
      </c>
      <c r="F60" s="5">
        <v>36</v>
      </c>
      <c r="G60" s="5">
        <v>21</v>
      </c>
      <c r="H60" s="5">
        <v>22</v>
      </c>
      <c r="I60" s="5">
        <v>44</v>
      </c>
      <c r="J60" s="6">
        <v>105600</v>
      </c>
    </row>
    <row r="61" spans="1:10">
      <c r="A61" s="3">
        <v>45992</v>
      </c>
      <c r="B61" s="4" t="s">
        <v>13</v>
      </c>
      <c r="C61" s="5">
        <v>8</v>
      </c>
      <c r="D61" s="5">
        <v>0</v>
      </c>
      <c r="E61" s="5">
        <v>0</v>
      </c>
      <c r="F61" s="5">
        <v>3</v>
      </c>
      <c r="G61" s="5">
        <v>21</v>
      </c>
      <c r="H61" s="5">
        <v>4</v>
      </c>
      <c r="I61" s="5">
        <v>8</v>
      </c>
      <c r="J61" s="6">
        <v>22400</v>
      </c>
    </row>
    <row r="62" spans="1:10">
      <c r="A62" s="3">
        <v>45992</v>
      </c>
      <c r="B62" s="4" t="s">
        <v>14</v>
      </c>
      <c r="C62" s="5">
        <v>13</v>
      </c>
      <c r="D62" s="5">
        <v>0</v>
      </c>
      <c r="E62" s="5">
        <v>1</v>
      </c>
      <c r="F62" s="5">
        <v>4</v>
      </c>
      <c r="G62" s="5">
        <v>21</v>
      </c>
      <c r="H62" s="5">
        <v>12</v>
      </c>
      <c r="I62" s="5">
        <v>12</v>
      </c>
      <c r="J62" s="6">
        <v>45600</v>
      </c>
    </row>
    <row r="63" spans="1:10">
      <c r="A63" s="3">
        <v>45992</v>
      </c>
      <c r="B63" s="4" t="s">
        <v>15</v>
      </c>
      <c r="C63" s="5">
        <v>10</v>
      </c>
      <c r="D63" s="5">
        <v>0</v>
      </c>
      <c r="E63" s="5">
        <v>0</v>
      </c>
      <c r="F63" s="5">
        <v>4</v>
      </c>
      <c r="G63" s="5">
        <v>21</v>
      </c>
      <c r="H63" s="5">
        <v>6</v>
      </c>
      <c r="I63" s="5">
        <v>10</v>
      </c>
      <c r="J63" s="6">
        <v>32000</v>
      </c>
    </row>
  </sheetData>
  <autoFilter ref="A3:J64"/>
  <mergeCells count="1">
    <mergeCell ref="A1:J1"/>
  </mergeCells>
  <conditionalFormatting sqref="H4:H64">
    <cfRule type="dataBar" priority="1">
      <dataBar>
        <cfvo type="min" val="0"/>
        <cfvo type="max" val="0"/>
        <color rgb="FF0E7490"/>
      </dataBar>
    </cfRule>
  </conditionalFormatting>
  <conditionalFormatting sqref="J4:J64">
    <cfRule type="colorScale" priority="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"/>
  <sheetViews>
    <sheetView showGridLines="0" workbookViewId="0"/>
  </sheetViews>
  <sheetFormatPr defaultRowHeight="15"/>
  <sheetData>
    <row r="1" spans="1:3">
      <c r="A1" s="2" t="s">
        <v>16</v>
      </c>
      <c r="C1" s="2" t="s">
        <v>18</v>
      </c>
    </row>
    <row r="2" spans="1:3">
      <c r="A2" t="s">
        <v>17</v>
      </c>
      <c r="C2" s="7">
        <v>45658</v>
      </c>
    </row>
    <row r="3" spans="1:3">
      <c r="A3" t="s">
        <v>11</v>
      </c>
      <c r="C3" s="7">
        <v>45689</v>
      </c>
    </row>
    <row r="4" spans="1:3">
      <c r="A4" t="s">
        <v>12</v>
      </c>
      <c r="C4" s="7">
        <v>45717</v>
      </c>
    </row>
    <row r="5" spans="1:3">
      <c r="A5" t="s">
        <v>13</v>
      </c>
      <c r="C5" s="7">
        <v>45748</v>
      </c>
    </row>
    <row r="6" spans="1:3">
      <c r="A6" t="s">
        <v>14</v>
      </c>
      <c r="C6" s="7">
        <v>45778</v>
      </c>
    </row>
    <row r="7" spans="1:3">
      <c r="A7" t="s">
        <v>15</v>
      </c>
      <c r="C7" s="7">
        <v>45809</v>
      </c>
    </row>
    <row r="8" spans="1:3">
      <c r="C8" s="7">
        <v>45839</v>
      </c>
    </row>
    <row r="9" spans="1:3">
      <c r="C9" s="7">
        <v>45870</v>
      </c>
    </row>
    <row r="10" spans="1:3">
      <c r="C10" s="7">
        <v>45901</v>
      </c>
    </row>
    <row r="11" spans="1:3">
      <c r="C11" s="7">
        <v>45931</v>
      </c>
    </row>
    <row r="12" spans="1:3">
      <c r="C12" s="7">
        <v>45962</v>
      </c>
    </row>
    <row r="13" spans="1:3">
      <c r="C13" s="7">
        <v>45992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7"/>
  <sheetViews>
    <sheetView workbookViewId="0"/>
  </sheetViews>
  <sheetFormatPr defaultRowHeight="15"/>
  <cols>
    <col min="1" max="1" width="28.7109375" customWidth="1"/>
    <col min="2" max="5" width="18.7109375" customWidth="1"/>
  </cols>
  <sheetData>
    <row r="1" spans="1:5">
      <c r="A1" s="1" t="s">
        <v>19</v>
      </c>
      <c r="B1" s="1"/>
      <c r="C1" s="1"/>
      <c r="D1" s="1"/>
      <c r="E1" s="1"/>
    </row>
    <row r="3" spans="1:5">
      <c r="A3" s="2" t="s">
        <v>20</v>
      </c>
      <c r="B3" s="2" t="s">
        <v>21</v>
      </c>
      <c r="C3" s="2" t="s">
        <v>22</v>
      </c>
      <c r="D3" s="2" t="s">
        <v>23</v>
      </c>
      <c r="E3" s="2" t="s">
        <v>24</v>
      </c>
    </row>
    <row r="4" spans="1:5">
      <c r="A4" s="4" t="s">
        <v>25</v>
      </c>
      <c r="B4" s="4" t="s">
        <v>26</v>
      </c>
      <c r="C4" s="4" t="s">
        <v>27</v>
      </c>
      <c r="D4" s="4" t="s">
        <v>28</v>
      </c>
      <c r="E4" s="4" t="s">
        <v>29</v>
      </c>
    </row>
    <row r="5" spans="1:5">
      <c r="A5" s="4" t="s">
        <v>30</v>
      </c>
      <c r="B5" s="4" t="s">
        <v>31</v>
      </c>
      <c r="C5" s="4" t="s">
        <v>32</v>
      </c>
      <c r="D5" s="4" t="s">
        <v>33</v>
      </c>
      <c r="E5" s="4" t="s">
        <v>34</v>
      </c>
    </row>
    <row r="6" spans="1:5">
      <c r="A6" s="4" t="s">
        <v>35</v>
      </c>
      <c r="B6" s="4" t="s">
        <v>36</v>
      </c>
      <c r="C6" s="4" t="s">
        <v>37</v>
      </c>
      <c r="D6" s="4" t="s">
        <v>38</v>
      </c>
      <c r="E6" s="4" t="s">
        <v>39</v>
      </c>
    </row>
    <row r="7" spans="1:5">
      <c r="A7" s="8" t="s">
        <v>40</v>
      </c>
    </row>
  </sheetData>
  <mergeCells count="1">
    <mergeCell ref="A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68"/>
  <sheetViews>
    <sheetView showGridLines="0" workbookViewId="0"/>
  </sheetViews>
  <sheetFormatPr defaultRowHeight="15"/>
  <cols>
    <col min="1" max="1" width="22.7109375" customWidth="1"/>
    <col min="2" max="8" width="18.7109375" customWidth="1"/>
    <col min="10" max="11" width="24.7109375" customWidth="1"/>
  </cols>
  <sheetData>
    <row r="1" spans="1:14" ht="28" customHeight="1">
      <c r="A1" s="1" t="s">
        <v>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9" t="s">
        <v>42</v>
      </c>
      <c r="I2" s="10" t="s">
        <v>45</v>
      </c>
      <c r="J2" s="10"/>
      <c r="K2" s="10"/>
      <c r="L2" s="10"/>
      <c r="M2" s="10"/>
      <c r="N2" s="10"/>
    </row>
    <row r="3" spans="1:14">
      <c r="A3" s="4" t="s">
        <v>43</v>
      </c>
      <c r="B3" s="4" t="s">
        <v>17</v>
      </c>
      <c r="D3" s="4" t="s">
        <v>44</v>
      </c>
      <c r="E3" s="3">
        <v>45870</v>
      </c>
      <c r="I3" s="10"/>
      <c r="J3" s="10"/>
      <c r="K3" s="10"/>
      <c r="L3" s="10"/>
      <c r="M3" s="10"/>
      <c r="N3" s="10"/>
    </row>
    <row r="5" spans="1:14">
      <c r="A5" s="9" t="s">
        <v>46</v>
      </c>
      <c r="J5" s="9" t="s">
        <v>68</v>
      </c>
    </row>
    <row r="6" spans="1:14">
      <c r="A6" s="11" t="s">
        <v>47</v>
      </c>
      <c r="B6" s="11"/>
      <c r="C6" s="11" t="s">
        <v>48</v>
      </c>
      <c r="D6" s="11"/>
      <c r="E6" s="11" t="s">
        <v>49</v>
      </c>
      <c r="F6" s="11"/>
      <c r="G6" s="11" t="s">
        <v>50</v>
      </c>
      <c r="H6" s="11"/>
      <c r="J6" s="2" t="s">
        <v>69</v>
      </c>
      <c r="K6" s="2" t="s">
        <v>56</v>
      </c>
    </row>
    <row r="7" spans="1:14">
      <c r="A7" s="12">
        <f>IF(sel_dept="Tous",  SUMIFS(Data_Inputs!$I$4:$I$63,Data_Inputs!$A$4:$A$63,sel_month),  SUMIFS(Data_Inputs!$I$4:$I$63,Data_Inputs!$B$4:$B$63,sel_dept,Data_Inputs!$A$4:$A$63,sel_month))</f>
        <v>0</v>
      </c>
      <c r="B7" s="12"/>
      <c r="C7" s="12">
        <f>IF(sel_dept="Tous",  SUMIFS(Data_Inputs!$E$4:$E$63,Data_Inputs!$A$4:$A$63,"&lt;="&amp;sel_month),  SUMIFS(Data_Inputs!$E$4:$E$63,Data_Inputs!$B$4:$B$63,sel_dept,Data_Inputs!$A$4:$A$63,"&lt;="&amp;sel_month))</f>
        <v>0</v>
      </c>
      <c r="D7" s="13">
        <f>C7/D8</f>
        <v>0</v>
      </c>
      <c r="E7" s="12">
        <f>IF(sel_dept="Tous",  SUMIFS(Data_Inputs!$F$4:$F$63,Data_Inputs!$A$4:$A$63,"&lt;="&amp;sel_month),  SUMIFS(Data_Inputs!$F$4:$F$63,Data_Inputs!$B$4:$B$63,sel_dept,Data_Inputs!$A$4:$A$63,"&lt;="&amp;sel_month))</f>
        <v>0</v>
      </c>
      <c r="F7" s="13">
        <f>=IF(sel_dept="Tous",  SUMIFS(Data_Inputs!$F$4:$F$63,Data_Inputs!$A$4:$A$63,"&lt;="&amp;sel_month),  SUMIFS(Data_Inputs!$F$4:$F$63,Data_Inputs!$B$4:$B$63,sel_dept,Data_Inputs!$A$4:$A$63,"&lt;="&amp;sel_month))/(=IF(sel_dept="Tous",  SUMIFS(Data_Inputs!$G$4:$G$63,Data_Inputs!$A$4:$A$63,"&lt;="&amp;sel_month),  SUMIFS(Data_Inputs!$G$4:$G$63,Data_Inputs!$B$4:$B$63,sel_dept,Data_Inputs!$A$4:$A$63,"&lt;="&amp;sel_month))*D8)</f>
        <v>0</v>
      </c>
      <c r="G7" s="12">
        <f>IF(sel_dept="Tous",  SUMIFS(Data_Inputs!$H$4:$H$63,Data_Inputs!$A$4:$A$63,"&lt;="&amp;sel_month),  SUMIFS(Data_Inputs!$H$4:$H$63,Data_Inputs!$B$4:$B$63,sel_dept,Data_Inputs!$A$4:$A$63,"&lt;="&amp;sel_month))</f>
        <v>0</v>
      </c>
      <c r="H7" s="14">
        <f>=IF(sel_dept="Tous",  SUMIFS(Data_Inputs!$H$4:$H$63,Data_Inputs!$A$4:$A$63,"&lt;="&amp;sel_month),  SUMIFS(Data_Inputs!$H$4:$H$63,Data_Inputs!$B$4:$B$63,sel_dept,Data_Inputs!$A$4:$A$63,"&lt;="&amp;sel_month))/D8</f>
        <v>0</v>
      </c>
      <c r="J7" s="4" t="s">
        <v>70</v>
      </c>
      <c r="K7" s="15">
        <f>D7</f>
        <v>0</v>
      </c>
    </row>
    <row r="8" spans="1:14">
      <c r="A8" s="12"/>
      <c r="B8" s="12"/>
      <c r="C8" s="12" t="s">
        <v>51</v>
      </c>
      <c r="D8" s="16">
        <f>IF(sel_dept="Tous",  SUMIFS(Data_Inputs!$C$4:$C$63,Data_Inputs!$A$4:$A$63,"&lt;="&amp;sel_month)/COUNTIFS(Data_Inputs!$A$4:$A$63,"&lt;="&amp;sel_month),  SUMIFS(Data_Inputs!$C$4:$C$63,Data_Inputs!$B$4:$B$63,sel_dept,Data_Inputs!$A$4:$A$63,"&lt;="&amp;sel_month)/COUNTIFS(Data_Inputs!$B$4:$B$63,sel_dept,Data_Inputs!$A$4:$A$63,"&lt;="&amp;sel_month))</f>
        <v>0</v>
      </c>
      <c r="E8" s="12"/>
      <c r="F8" s="12"/>
      <c r="G8" s="12"/>
      <c r="H8" s="12"/>
      <c r="J8" s="4" t="s">
        <v>71</v>
      </c>
      <c r="K8" s="15">
        <f>F7</f>
        <v>0</v>
      </c>
    </row>
    <row r="9" spans="1:14">
      <c r="A9" s="17" t="s">
        <v>52</v>
      </c>
      <c r="C9" s="17" t="s">
        <v>53</v>
      </c>
      <c r="E9" s="17" t="s">
        <v>54</v>
      </c>
      <c r="G9" s="17" t="s">
        <v>35</v>
      </c>
      <c r="J9" s="4" t="s">
        <v>72</v>
      </c>
      <c r="K9" s="16">
        <f>H7</f>
        <v>0</v>
      </c>
    </row>
    <row r="10" spans="1:14">
      <c r="J10" s="4" t="s">
        <v>83</v>
      </c>
      <c r="K10" s="5">
        <f>MIN(100,IFERROR(K9/20*100,0))</f>
        <v>0</v>
      </c>
    </row>
    <row r="11" spans="1:14">
      <c r="A11" s="9" t="s">
        <v>55</v>
      </c>
      <c r="J11" s="18" t="s">
        <v>73</v>
      </c>
    </row>
    <row r="12" spans="1:14">
      <c r="A12" s="2" t="s">
        <v>20</v>
      </c>
      <c r="B12" s="2" t="s">
        <v>56</v>
      </c>
      <c r="C12" s="2" t="s">
        <v>57</v>
      </c>
      <c r="J12" s="4" t="s">
        <v>74</v>
      </c>
      <c r="K12" s="5">
        <f>MIN(100,MAX(0,IF(ISNUMBER(K7),K7*100,K7)))</f>
        <v>0</v>
      </c>
    </row>
    <row r="13" spans="1:14">
      <c r="A13" s="4" t="s">
        <v>58</v>
      </c>
      <c r="B13" s="19">
        <f>D7</f>
        <v>0</v>
      </c>
      <c r="J13" s="4" t="s">
        <v>75</v>
      </c>
      <c r="K13" s="5">
        <f>100-K12</f>
        <v>0</v>
      </c>
    </row>
    <row r="14" spans="1:14">
      <c r="A14" s="4" t="s">
        <v>59</v>
      </c>
      <c r="B14" s="19">
        <f>F7</f>
        <v>0</v>
      </c>
    </row>
    <row r="15" spans="1:14">
      <c r="A15" s="4" t="s">
        <v>50</v>
      </c>
      <c r="B15">
        <f>H7</f>
        <v>0</v>
      </c>
      <c r="J15" s="4" t="s">
        <v>76</v>
      </c>
      <c r="K15" s="5">
        <f>12*0.5</f>
        <v>0</v>
      </c>
    </row>
    <row r="16" spans="1:14">
      <c r="J16" s="4" t="s">
        <v>77</v>
      </c>
      <c r="K16" s="5">
        <f>(15-12)*0.5</f>
        <v>0</v>
      </c>
    </row>
    <row r="17" spans="1:11">
      <c r="A17" s="9" t="s">
        <v>60</v>
      </c>
      <c r="J17" s="4" t="s">
        <v>78</v>
      </c>
      <c r="K17" s="5">
        <f>(100-15)*0.5</f>
        <v>0</v>
      </c>
    </row>
    <row r="18" spans="1:11">
      <c r="A18" s="2" t="s">
        <v>18</v>
      </c>
      <c r="B18" s="2" t="s">
        <v>61</v>
      </c>
      <c r="C18" s="2" t="s">
        <v>62</v>
      </c>
      <c r="D18" s="2" t="s">
        <v>63</v>
      </c>
      <c r="E18" s="2" t="s">
        <v>64</v>
      </c>
      <c r="J18" s="4" t="s">
        <v>79</v>
      </c>
      <c r="K18" s="5">
        <v>50</v>
      </c>
    </row>
    <row r="19" spans="1:11">
      <c r="A19" s="20">
        <v>45658</v>
      </c>
      <c r="B19" s="5">
        <f>IF(sel_dept="Tous",SUMIFS(Data_Inputs!$I$4:$I$63,Data_Inputs!$A$4:$A$63,$A19),SUMIFS(Data_Inputs!$I$4:$I$63,Data_Inputs!$B$4:$B$63,sel_dept,Data_Inputs!$A$4:$A$63,$A19))</f>
        <v>0</v>
      </c>
      <c r="C19" s="5">
        <f>IF(sel_dept="Tous",SUMIFS(Data_Inputs!$D$4:$D$63,Data_Inputs!$A$4:$A$63,$A19),SUMIFS(Data_Inputs!$D$4:$D$63,Data_Inputs!$B$4:$B$63,sel_dept,Data_Inputs!$A$4:$A$63,$A19))</f>
        <v>0</v>
      </c>
      <c r="D19" s="5">
        <f>IF(sel_dept="Tous",SUMIFS(Data_Inputs!$E$4:$E$63,Data_Inputs!$A$4:$A$63,$A19),SUMIFS(Data_Inputs!$E$4:$E$63,Data_Inputs!$B$4:$B$63,sel_dept,Data_Inputs!$A$4:$A$63,$A19))</f>
        <v>0</v>
      </c>
      <c r="E19" s="5">
        <f>IF($A19&lt;=sel_month,$B19,NA())</f>
        <v>0</v>
      </c>
    </row>
    <row r="20" spans="1:11">
      <c r="A20" s="20">
        <v>45689</v>
      </c>
      <c r="B20" s="5">
        <f>IF(sel_dept="Tous",SUMIFS(Data_Inputs!$I$4:$I$63,Data_Inputs!$A$4:$A$63,$A20),SUMIFS(Data_Inputs!$I$4:$I$63,Data_Inputs!$B$4:$B$63,sel_dept,Data_Inputs!$A$4:$A$63,$A20))</f>
        <v>0</v>
      </c>
      <c r="C20" s="5">
        <f>IF(sel_dept="Tous",SUMIFS(Data_Inputs!$D$4:$D$63,Data_Inputs!$A$4:$A$63,$A20),SUMIFS(Data_Inputs!$D$4:$D$63,Data_Inputs!$B$4:$B$63,sel_dept,Data_Inputs!$A$4:$A$63,$A20))</f>
        <v>0</v>
      </c>
      <c r="D20" s="5">
        <f>IF(sel_dept="Tous",SUMIFS(Data_Inputs!$E$4:$E$63,Data_Inputs!$A$4:$A$63,$A20),SUMIFS(Data_Inputs!$E$4:$E$63,Data_Inputs!$B$4:$B$63,sel_dept,Data_Inputs!$A$4:$A$63,$A20))</f>
        <v>0</v>
      </c>
      <c r="E20" s="5">
        <f>IF($A20&lt;=sel_month,$B20,NA())</f>
        <v>0</v>
      </c>
      <c r="J20" s="4" t="s">
        <v>80</v>
      </c>
      <c r="K20" s="5">
        <f>K12*0.5</f>
        <v>0</v>
      </c>
    </row>
    <row r="21" spans="1:11">
      <c r="A21" s="20">
        <v>45717</v>
      </c>
      <c r="B21" s="5">
        <f>IF(sel_dept="Tous",SUMIFS(Data_Inputs!$I$4:$I$63,Data_Inputs!$A$4:$A$63,$A21),SUMIFS(Data_Inputs!$I$4:$I$63,Data_Inputs!$B$4:$B$63,sel_dept,Data_Inputs!$A$4:$A$63,$A21))</f>
        <v>0</v>
      </c>
      <c r="C21" s="5">
        <f>IF(sel_dept="Tous",SUMIFS(Data_Inputs!$D$4:$D$63,Data_Inputs!$A$4:$A$63,$A21),SUMIFS(Data_Inputs!$D$4:$D$63,Data_Inputs!$B$4:$B$63,sel_dept,Data_Inputs!$A$4:$A$63,$A21))</f>
        <v>0</v>
      </c>
      <c r="D21" s="5">
        <f>IF(sel_dept="Tous",SUMIFS(Data_Inputs!$E$4:$E$63,Data_Inputs!$A$4:$A$63,$A21),SUMIFS(Data_Inputs!$E$4:$E$63,Data_Inputs!$B$4:$B$63,sel_dept,Data_Inputs!$A$4:$A$63,$A21))</f>
        <v>0</v>
      </c>
      <c r="E21" s="5">
        <f>IF($A21&lt;=sel_month,$B21,NA())</f>
        <v>0</v>
      </c>
      <c r="J21" s="4" t="s">
        <v>81</v>
      </c>
      <c r="K21" s="5">
        <f>(100-K12)*0.5</f>
        <v>0</v>
      </c>
    </row>
    <row r="22" spans="1:11">
      <c r="A22" s="20">
        <v>45748</v>
      </c>
      <c r="B22" s="5">
        <f>IF(sel_dept="Tous",SUMIFS(Data_Inputs!$I$4:$I$63,Data_Inputs!$A$4:$A$63,$A22),SUMIFS(Data_Inputs!$I$4:$I$63,Data_Inputs!$B$4:$B$63,sel_dept,Data_Inputs!$A$4:$A$63,$A22))</f>
        <v>0</v>
      </c>
      <c r="C22" s="5">
        <f>IF(sel_dept="Tous",SUMIFS(Data_Inputs!$D$4:$D$63,Data_Inputs!$A$4:$A$63,$A22),SUMIFS(Data_Inputs!$D$4:$D$63,Data_Inputs!$B$4:$B$63,sel_dept,Data_Inputs!$A$4:$A$63,$A22))</f>
        <v>0</v>
      </c>
      <c r="D22" s="5">
        <f>IF(sel_dept="Tous",SUMIFS(Data_Inputs!$E$4:$E$63,Data_Inputs!$A$4:$A$63,$A22),SUMIFS(Data_Inputs!$E$4:$E$63,Data_Inputs!$B$4:$B$63,sel_dept,Data_Inputs!$A$4:$A$63,$A22))</f>
        <v>0</v>
      </c>
      <c r="E22" s="5">
        <f>IF($A22&lt;=sel_month,$B22,NA())</f>
        <v>0</v>
      </c>
      <c r="J22" s="4" t="s">
        <v>79</v>
      </c>
      <c r="K22" s="5">
        <v>50</v>
      </c>
    </row>
    <row r="23" spans="1:11">
      <c r="A23" s="20">
        <v>45778</v>
      </c>
      <c r="B23" s="5">
        <f>IF(sel_dept="Tous",SUMIFS(Data_Inputs!$I$4:$I$63,Data_Inputs!$A$4:$A$63,$A23),SUMIFS(Data_Inputs!$I$4:$I$63,Data_Inputs!$B$4:$B$63,sel_dept,Data_Inputs!$A$4:$A$63,$A23))</f>
        <v>0</v>
      </c>
      <c r="C23" s="5">
        <f>IF(sel_dept="Tous",SUMIFS(Data_Inputs!$D$4:$D$63,Data_Inputs!$A$4:$A$63,$A23),SUMIFS(Data_Inputs!$D$4:$D$63,Data_Inputs!$B$4:$B$63,sel_dept,Data_Inputs!$A$4:$A$63,$A23))</f>
        <v>0</v>
      </c>
      <c r="D23" s="5">
        <f>IF(sel_dept="Tous",SUMIFS(Data_Inputs!$E$4:$E$63,Data_Inputs!$A$4:$A$63,$A23),SUMIFS(Data_Inputs!$E$4:$E$63,Data_Inputs!$B$4:$B$63,sel_dept,Data_Inputs!$A$4:$A$63,$A23))</f>
        <v>0</v>
      </c>
      <c r="E23" s="5">
        <f>IF($A23&lt;=sel_month,$B23,NA())</f>
        <v>0</v>
      </c>
    </row>
    <row r="24" spans="1:11">
      <c r="A24" s="20">
        <v>45809</v>
      </c>
      <c r="B24" s="5">
        <f>IF(sel_dept="Tous",SUMIFS(Data_Inputs!$I$4:$I$63,Data_Inputs!$A$4:$A$63,$A24),SUMIFS(Data_Inputs!$I$4:$I$63,Data_Inputs!$B$4:$B$63,sel_dept,Data_Inputs!$A$4:$A$63,$A24))</f>
        <v>0</v>
      </c>
      <c r="C24" s="5">
        <f>IF(sel_dept="Tous",SUMIFS(Data_Inputs!$D$4:$D$63,Data_Inputs!$A$4:$A$63,$A24),SUMIFS(Data_Inputs!$D$4:$D$63,Data_Inputs!$B$4:$B$63,sel_dept,Data_Inputs!$A$4:$A$63,$A24))</f>
        <v>0</v>
      </c>
      <c r="D24" s="5">
        <f>IF(sel_dept="Tous",SUMIFS(Data_Inputs!$E$4:$E$63,Data_Inputs!$A$4:$A$63,$A24),SUMIFS(Data_Inputs!$E$4:$E$63,Data_Inputs!$B$4:$B$63,sel_dept,Data_Inputs!$A$4:$A$63,$A24))</f>
        <v>0</v>
      </c>
      <c r="E24" s="5">
        <f>IF($A24&lt;=sel_month,$B24,NA())</f>
        <v>0</v>
      </c>
    </row>
    <row r="25" spans="1:11">
      <c r="A25" s="20">
        <v>45839</v>
      </c>
      <c r="B25" s="5">
        <f>IF(sel_dept="Tous",SUMIFS(Data_Inputs!$I$4:$I$63,Data_Inputs!$A$4:$A$63,$A25),SUMIFS(Data_Inputs!$I$4:$I$63,Data_Inputs!$B$4:$B$63,sel_dept,Data_Inputs!$A$4:$A$63,$A25))</f>
        <v>0</v>
      </c>
      <c r="C25" s="5">
        <f>IF(sel_dept="Tous",SUMIFS(Data_Inputs!$D$4:$D$63,Data_Inputs!$A$4:$A$63,$A25),SUMIFS(Data_Inputs!$D$4:$D$63,Data_Inputs!$B$4:$B$63,sel_dept,Data_Inputs!$A$4:$A$63,$A25))</f>
        <v>0</v>
      </c>
      <c r="D25" s="5">
        <f>IF(sel_dept="Tous",SUMIFS(Data_Inputs!$E$4:$E$63,Data_Inputs!$A$4:$A$63,$A25),SUMIFS(Data_Inputs!$E$4:$E$63,Data_Inputs!$B$4:$B$63,sel_dept,Data_Inputs!$A$4:$A$63,$A25))</f>
        <v>0</v>
      </c>
      <c r="E25" s="5">
        <f>IF($A25&lt;=sel_month,$B25,NA())</f>
        <v>0</v>
      </c>
    </row>
    <row r="26" spans="1:11">
      <c r="A26" s="20">
        <v>45870</v>
      </c>
      <c r="B26" s="5">
        <f>IF(sel_dept="Tous",SUMIFS(Data_Inputs!$I$4:$I$63,Data_Inputs!$A$4:$A$63,$A26),SUMIFS(Data_Inputs!$I$4:$I$63,Data_Inputs!$B$4:$B$63,sel_dept,Data_Inputs!$A$4:$A$63,$A26))</f>
        <v>0</v>
      </c>
      <c r="C26" s="5">
        <f>IF(sel_dept="Tous",SUMIFS(Data_Inputs!$D$4:$D$63,Data_Inputs!$A$4:$A$63,$A26),SUMIFS(Data_Inputs!$D$4:$D$63,Data_Inputs!$B$4:$B$63,sel_dept,Data_Inputs!$A$4:$A$63,$A26))</f>
        <v>0</v>
      </c>
      <c r="D26" s="5">
        <f>IF(sel_dept="Tous",SUMIFS(Data_Inputs!$E$4:$E$63,Data_Inputs!$A$4:$A$63,$A26),SUMIFS(Data_Inputs!$E$4:$E$63,Data_Inputs!$B$4:$B$63,sel_dept,Data_Inputs!$A$4:$A$63,$A26))</f>
        <v>0</v>
      </c>
      <c r="E26" s="5">
        <f>IF($A26&lt;=sel_month,$B26,NA())</f>
        <v>0</v>
      </c>
    </row>
    <row r="27" spans="1:11">
      <c r="A27" s="20">
        <v>45901</v>
      </c>
      <c r="B27" s="5">
        <f>IF(sel_dept="Tous",SUMIFS(Data_Inputs!$I$4:$I$63,Data_Inputs!$A$4:$A$63,$A27),SUMIFS(Data_Inputs!$I$4:$I$63,Data_Inputs!$B$4:$B$63,sel_dept,Data_Inputs!$A$4:$A$63,$A27))</f>
        <v>0</v>
      </c>
      <c r="C27" s="5">
        <f>IF(sel_dept="Tous",SUMIFS(Data_Inputs!$D$4:$D$63,Data_Inputs!$A$4:$A$63,$A27),SUMIFS(Data_Inputs!$D$4:$D$63,Data_Inputs!$B$4:$B$63,sel_dept,Data_Inputs!$A$4:$A$63,$A27))</f>
        <v>0</v>
      </c>
      <c r="D27" s="5">
        <f>IF(sel_dept="Tous",SUMIFS(Data_Inputs!$E$4:$E$63,Data_Inputs!$A$4:$A$63,$A27),SUMIFS(Data_Inputs!$E$4:$E$63,Data_Inputs!$B$4:$B$63,sel_dept,Data_Inputs!$A$4:$A$63,$A27))</f>
        <v>0</v>
      </c>
      <c r="E27" s="5">
        <f>IF($A27&lt;=sel_month,$B27,NA())</f>
        <v>0</v>
      </c>
    </row>
    <row r="28" spans="1:11">
      <c r="A28" s="20">
        <v>45931</v>
      </c>
      <c r="B28" s="5">
        <f>IF(sel_dept="Tous",SUMIFS(Data_Inputs!$I$4:$I$63,Data_Inputs!$A$4:$A$63,$A28),SUMIFS(Data_Inputs!$I$4:$I$63,Data_Inputs!$B$4:$B$63,sel_dept,Data_Inputs!$A$4:$A$63,$A28))</f>
        <v>0</v>
      </c>
      <c r="C28" s="5">
        <f>IF(sel_dept="Tous",SUMIFS(Data_Inputs!$D$4:$D$63,Data_Inputs!$A$4:$A$63,$A28),SUMIFS(Data_Inputs!$D$4:$D$63,Data_Inputs!$B$4:$B$63,sel_dept,Data_Inputs!$A$4:$A$63,$A28))</f>
        <v>0</v>
      </c>
      <c r="D28" s="5">
        <f>IF(sel_dept="Tous",SUMIFS(Data_Inputs!$E$4:$E$63,Data_Inputs!$A$4:$A$63,$A28),SUMIFS(Data_Inputs!$E$4:$E$63,Data_Inputs!$B$4:$B$63,sel_dept,Data_Inputs!$A$4:$A$63,$A28))</f>
        <v>0</v>
      </c>
      <c r="E28" s="5">
        <f>IF($A28&lt;=sel_month,$B28,NA())</f>
        <v>0</v>
      </c>
      <c r="J28" s="18" t="s">
        <v>82</v>
      </c>
    </row>
    <row r="29" spans="1:11">
      <c r="A29" s="20">
        <v>45962</v>
      </c>
      <c r="B29" s="5">
        <f>IF(sel_dept="Tous",SUMIFS(Data_Inputs!$I$4:$I$63,Data_Inputs!$A$4:$A$63,$A29),SUMIFS(Data_Inputs!$I$4:$I$63,Data_Inputs!$B$4:$B$63,sel_dept,Data_Inputs!$A$4:$A$63,$A29))</f>
        <v>0</v>
      </c>
      <c r="C29" s="5">
        <f>IF(sel_dept="Tous",SUMIFS(Data_Inputs!$D$4:$D$63,Data_Inputs!$A$4:$A$63,$A29),SUMIFS(Data_Inputs!$D$4:$D$63,Data_Inputs!$B$4:$B$63,sel_dept,Data_Inputs!$A$4:$A$63,$A29))</f>
        <v>0</v>
      </c>
      <c r="D29" s="5">
        <f>IF(sel_dept="Tous",SUMIFS(Data_Inputs!$E$4:$E$63,Data_Inputs!$A$4:$A$63,$A29),SUMIFS(Data_Inputs!$E$4:$E$63,Data_Inputs!$B$4:$B$63,sel_dept,Data_Inputs!$A$4:$A$63,$A29))</f>
        <v>0</v>
      </c>
      <c r="E29" s="5">
        <f>IF($A29&lt;=sel_month,$B29,NA())</f>
        <v>0</v>
      </c>
      <c r="J29" s="4" t="s">
        <v>74</v>
      </c>
      <c r="K29" s="5">
        <f>MIN(100,MAX(0,IF(ISNUMBER(K8),K8*100,K8)))</f>
        <v>0</v>
      </c>
    </row>
    <row r="30" spans="1:11">
      <c r="A30" s="20">
        <v>45992</v>
      </c>
      <c r="B30" s="5">
        <f>IF(sel_dept="Tous",SUMIFS(Data_Inputs!$I$4:$I$63,Data_Inputs!$A$4:$A$63,$A30),SUMIFS(Data_Inputs!$I$4:$I$63,Data_Inputs!$B$4:$B$63,sel_dept,Data_Inputs!$A$4:$A$63,$A30))</f>
        <v>0</v>
      </c>
      <c r="C30" s="5">
        <f>IF(sel_dept="Tous",SUMIFS(Data_Inputs!$D$4:$D$63,Data_Inputs!$A$4:$A$63,$A30),SUMIFS(Data_Inputs!$D$4:$D$63,Data_Inputs!$B$4:$B$63,sel_dept,Data_Inputs!$A$4:$A$63,$A30))</f>
        <v>0</v>
      </c>
      <c r="D30" s="5">
        <f>IF(sel_dept="Tous",SUMIFS(Data_Inputs!$E$4:$E$63,Data_Inputs!$A$4:$A$63,$A30),SUMIFS(Data_Inputs!$E$4:$E$63,Data_Inputs!$B$4:$B$63,sel_dept,Data_Inputs!$A$4:$A$63,$A30))</f>
        <v>0</v>
      </c>
      <c r="E30" s="5">
        <f>IF($A30&lt;=sel_month,$B30,NA())</f>
        <v>0</v>
      </c>
      <c r="J30" s="4" t="s">
        <v>75</v>
      </c>
      <c r="K30" s="5">
        <f>100-K29</f>
        <v>0</v>
      </c>
    </row>
    <row r="32" spans="1:11">
      <c r="J32" s="4" t="s">
        <v>76</v>
      </c>
      <c r="K32" s="5">
        <f>3*0.5</f>
        <v>0</v>
      </c>
    </row>
    <row r="33" spans="1:11">
      <c r="J33" s="4" t="s">
        <v>77</v>
      </c>
      <c r="K33" s="5">
        <f>(5-3)*0.5</f>
        <v>0</v>
      </c>
    </row>
    <row r="34" spans="1:11">
      <c r="J34" s="4" t="s">
        <v>78</v>
      </c>
      <c r="K34" s="5">
        <f>(100-5)*0.5</f>
        <v>0</v>
      </c>
    </row>
    <row r="35" spans="1:11">
      <c r="J35" s="4" t="s">
        <v>79</v>
      </c>
      <c r="K35" s="5">
        <v>50</v>
      </c>
    </row>
    <row r="37" spans="1:11">
      <c r="J37" s="4" t="s">
        <v>80</v>
      </c>
      <c r="K37" s="5">
        <f>K29*0.5</f>
        <v>0</v>
      </c>
    </row>
    <row r="38" spans="1:11">
      <c r="J38" s="4" t="s">
        <v>81</v>
      </c>
      <c r="K38" s="5">
        <f>(100-K29)*0.5</f>
        <v>0</v>
      </c>
    </row>
    <row r="39" spans="1:11">
      <c r="J39" s="4" t="s">
        <v>79</v>
      </c>
      <c r="K39" s="5">
        <v>50</v>
      </c>
    </row>
    <row r="45" spans="1:11">
      <c r="A45" s="9" t="s">
        <v>65</v>
      </c>
      <c r="J45" s="18" t="s">
        <v>84</v>
      </c>
    </row>
    <row r="46" spans="1:11">
      <c r="A46" s="2" t="s">
        <v>43</v>
      </c>
      <c r="B46" s="2" t="s">
        <v>66</v>
      </c>
      <c r="C46" s="2" t="s">
        <v>67</v>
      </c>
      <c r="J46" s="4" t="s">
        <v>74</v>
      </c>
      <c r="K46" s="5">
        <f>MIN(100,MAX(0,IF(ISNUMBER(K10),K10*100,K10)))</f>
        <v>0</v>
      </c>
    </row>
    <row r="47" spans="1:11">
      <c r="A47" s="4" t="s">
        <v>11</v>
      </c>
      <c r="B47" s="5">
        <f>SUMIFS(Data_Inputs!$F$4:$F$63,Data_Inputs!$B$4:$B$63,"Commercial",Data_Inputs!$A$4:$A$63,"&lt;="&amp;sel_month)</f>
        <v>0</v>
      </c>
      <c r="C47" s="5">
        <f>SUMIFS(Data_Inputs!$H$4:$H$63,Data_Inputs!$B$4:$B$63,"Commercial",Data_Inputs!$A$4:$A$63,"&lt;="&amp;sel_month)</f>
        <v>0</v>
      </c>
      <c r="J47" s="4" t="s">
        <v>75</v>
      </c>
      <c r="K47" s="5">
        <f>100-K46</f>
        <v>0</v>
      </c>
    </row>
    <row r="48" spans="1:11">
      <c r="A48" s="4" t="s">
        <v>12</v>
      </c>
      <c r="B48" s="5">
        <f>SUMIFS(Data_Inputs!$F$4:$F$63,Data_Inputs!$B$4:$B$63,"Production",Data_Inputs!$A$4:$A$63,"&lt;="&amp;sel_month)</f>
        <v>0</v>
      </c>
      <c r="C48" s="5">
        <f>SUMIFS(Data_Inputs!$H$4:$H$63,Data_Inputs!$B$4:$B$63,"Production",Data_Inputs!$A$4:$A$63,"&lt;="&amp;sel_month)</f>
        <v>0</v>
      </c>
    </row>
    <row r="49" spans="1:11">
      <c r="A49" s="4" t="s">
        <v>13</v>
      </c>
      <c r="B49" s="5">
        <f>SUMIFS(Data_Inputs!$F$4:$F$63,Data_Inputs!$B$4:$B$63,"RH",Data_Inputs!$A$4:$A$63,"&lt;="&amp;sel_month)</f>
        <v>0</v>
      </c>
      <c r="C49" s="5">
        <f>SUMIFS(Data_Inputs!$H$4:$H$63,Data_Inputs!$B$4:$B$63,"RH",Data_Inputs!$A$4:$A$63,"&lt;="&amp;sel_month)</f>
        <v>0</v>
      </c>
      <c r="J49" s="4" t="s">
        <v>76</v>
      </c>
      <c r="K49" s="5">
        <f>60*0.5</f>
        <v>0</v>
      </c>
    </row>
    <row r="50" spans="1:11">
      <c r="A50" s="4" t="s">
        <v>14</v>
      </c>
      <c r="B50" s="5">
        <f>SUMIFS(Data_Inputs!$F$4:$F$63,Data_Inputs!$B$4:$B$63,"IT",Data_Inputs!$A$4:$A$63,"&lt;="&amp;sel_month)</f>
        <v>0</v>
      </c>
      <c r="C50" s="5">
        <f>SUMIFS(Data_Inputs!$H$4:$H$63,Data_Inputs!$B$4:$B$63,"IT",Data_Inputs!$A$4:$A$63,"&lt;="&amp;sel_month)</f>
        <v>0</v>
      </c>
      <c r="J50" s="4" t="s">
        <v>77</v>
      </c>
      <c r="K50" s="5">
        <f>(80-60)*0.5</f>
        <v>0</v>
      </c>
    </row>
    <row r="51" spans="1:11">
      <c r="A51" s="4" t="s">
        <v>15</v>
      </c>
      <c r="B51" s="5">
        <f>SUMIFS(Data_Inputs!$F$4:$F$63,Data_Inputs!$B$4:$B$63,"Finance",Data_Inputs!$A$4:$A$63,"&lt;="&amp;sel_month)</f>
        <v>0</v>
      </c>
      <c r="C51" s="5">
        <f>SUMIFS(Data_Inputs!$H$4:$H$63,Data_Inputs!$B$4:$B$63,"Finance",Data_Inputs!$A$4:$A$63,"&lt;="&amp;sel_month)</f>
        <v>0</v>
      </c>
      <c r="J51" s="4" t="s">
        <v>78</v>
      </c>
      <c r="K51" s="5">
        <f>(100-80)*0.5</f>
        <v>0</v>
      </c>
    </row>
    <row r="52" spans="1:11">
      <c r="J52" s="4" t="s">
        <v>79</v>
      </c>
      <c r="K52" s="5">
        <v>50</v>
      </c>
    </row>
    <row r="54" spans="1:11">
      <c r="J54" s="4" t="s">
        <v>80</v>
      </c>
      <c r="K54" s="5">
        <f>K46*0.5</f>
        <v>0</v>
      </c>
    </row>
    <row r="55" spans="1:11">
      <c r="J55" s="4" t="s">
        <v>81</v>
      </c>
      <c r="K55" s="5">
        <f>(100-K46)*0.5</f>
        <v>0</v>
      </c>
    </row>
    <row r="56" spans="1:11">
      <c r="J56" s="4" t="s">
        <v>79</v>
      </c>
      <c r="K56" s="5">
        <v>50</v>
      </c>
    </row>
    <row r="62" spans="1:11">
      <c r="A62" s="9" t="s">
        <v>85</v>
      </c>
    </row>
    <row r="63" spans="1:11">
      <c r="A63" s="2" t="s">
        <v>43</v>
      </c>
      <c r="B63" s="2" t="s">
        <v>70</v>
      </c>
      <c r="C63" s="2" t="s">
        <v>71</v>
      </c>
      <c r="D63" s="2" t="s">
        <v>86</v>
      </c>
      <c r="E63" s="2" t="s">
        <v>51</v>
      </c>
      <c r="F63" s="2" t="s">
        <v>87</v>
      </c>
    </row>
    <row r="64" spans="1:11">
      <c r="A64" s="4" t="s">
        <v>11</v>
      </c>
      <c r="B64" s="19">
        <f>SUMIFS(Data_Inputs!$E$4:$E$63,Data_Inputs!$B$4:$B$63,"Commercial",Data_Inputs!$A$4:$A$63,"&lt;="&amp;sel_month)/$F64</f>
        <v>0</v>
      </c>
      <c r="C64" s="19">
        <f>SUMIFS(Data_Inputs!$F$4:$F$63,Data_Inputs!$B$4:$B$63,"Commercial",Data_Inputs!$A$4:$A$63,"&lt;="&amp;sel_month)/(SUMIFS(Data_Inputs!$G$4:$G$63,Data_Inputs!$B$4:$B$63,"Commercial",Data_Inputs!$A$4:$A$63,"&lt;="&amp;sel_month)*$F64)</f>
        <v>0</v>
      </c>
      <c r="D64" s="16">
        <f>SUMIFS(Data_Inputs!$H$4:$H$63,Data_Inputs!$B$4:$B$63,"Commercial",Data_Inputs!$A$4:$A$63,"&lt;="&amp;sel_month)/$F64</f>
        <v>0</v>
      </c>
      <c r="F64" s="16">
        <f>SUMIFS(Data_Inputs!$C$4:$C$63,Data_Inputs!$B$4:$B$63,"Commercial",Data_Inputs!$A$4:$A$63,"&lt;="&amp;sel_month)/COUNTIFS(Data_Inputs!$B$4:$B$63,"Commercial",Data_Inputs!$A$4:$A$63,"&lt;="&amp;sel_month)</f>
        <v>0</v>
      </c>
    </row>
    <row r="65" spans="1:6">
      <c r="A65" s="4" t="s">
        <v>12</v>
      </c>
      <c r="B65" s="19">
        <f>SUMIFS(Data_Inputs!$E$4:$E$63,Data_Inputs!$B$4:$B$63,"Production",Data_Inputs!$A$4:$A$63,"&lt;="&amp;sel_month)/$F65</f>
        <v>0</v>
      </c>
      <c r="C65" s="19">
        <f>SUMIFS(Data_Inputs!$F$4:$F$63,Data_Inputs!$B$4:$B$63,"Production",Data_Inputs!$A$4:$A$63,"&lt;="&amp;sel_month)/(SUMIFS(Data_Inputs!$G$4:$G$63,Data_Inputs!$B$4:$B$63,"Production",Data_Inputs!$A$4:$A$63,"&lt;="&amp;sel_month)*$F65)</f>
        <v>0</v>
      </c>
      <c r="D65" s="16">
        <f>SUMIFS(Data_Inputs!$H$4:$H$63,Data_Inputs!$B$4:$B$63,"Production",Data_Inputs!$A$4:$A$63,"&lt;="&amp;sel_month)/$F65</f>
        <v>0</v>
      </c>
      <c r="F65" s="16">
        <f>SUMIFS(Data_Inputs!$C$4:$C$63,Data_Inputs!$B$4:$B$63,"Production",Data_Inputs!$A$4:$A$63,"&lt;="&amp;sel_month)/COUNTIFS(Data_Inputs!$B$4:$B$63,"Production",Data_Inputs!$A$4:$A$63,"&lt;="&amp;sel_month)</f>
        <v>0</v>
      </c>
    </row>
    <row r="66" spans="1:6">
      <c r="A66" s="4" t="s">
        <v>13</v>
      </c>
      <c r="B66" s="19">
        <f>SUMIFS(Data_Inputs!$E$4:$E$63,Data_Inputs!$B$4:$B$63,"RH",Data_Inputs!$A$4:$A$63,"&lt;="&amp;sel_month)/$F66</f>
        <v>0</v>
      </c>
      <c r="C66" s="19">
        <f>SUMIFS(Data_Inputs!$F$4:$F$63,Data_Inputs!$B$4:$B$63,"RH",Data_Inputs!$A$4:$A$63,"&lt;="&amp;sel_month)/(SUMIFS(Data_Inputs!$G$4:$G$63,Data_Inputs!$B$4:$B$63,"RH",Data_Inputs!$A$4:$A$63,"&lt;="&amp;sel_month)*$F66)</f>
        <v>0</v>
      </c>
      <c r="D66" s="16">
        <f>SUMIFS(Data_Inputs!$H$4:$H$63,Data_Inputs!$B$4:$B$63,"RH",Data_Inputs!$A$4:$A$63,"&lt;="&amp;sel_month)/$F66</f>
        <v>0</v>
      </c>
      <c r="F66" s="16">
        <f>SUMIFS(Data_Inputs!$C$4:$C$63,Data_Inputs!$B$4:$B$63,"RH",Data_Inputs!$A$4:$A$63,"&lt;="&amp;sel_month)/COUNTIFS(Data_Inputs!$B$4:$B$63,"RH",Data_Inputs!$A$4:$A$63,"&lt;="&amp;sel_month)</f>
        <v>0</v>
      </c>
    </row>
    <row r="67" spans="1:6">
      <c r="A67" s="4" t="s">
        <v>14</v>
      </c>
      <c r="B67" s="19">
        <f>SUMIFS(Data_Inputs!$E$4:$E$63,Data_Inputs!$B$4:$B$63,"IT",Data_Inputs!$A$4:$A$63,"&lt;="&amp;sel_month)/$F67</f>
        <v>0</v>
      </c>
      <c r="C67" s="19">
        <f>SUMIFS(Data_Inputs!$F$4:$F$63,Data_Inputs!$B$4:$B$63,"IT",Data_Inputs!$A$4:$A$63,"&lt;="&amp;sel_month)/(SUMIFS(Data_Inputs!$G$4:$G$63,Data_Inputs!$B$4:$B$63,"IT",Data_Inputs!$A$4:$A$63,"&lt;="&amp;sel_month)*$F67)</f>
        <v>0</v>
      </c>
      <c r="D67" s="16">
        <f>SUMIFS(Data_Inputs!$H$4:$H$63,Data_Inputs!$B$4:$B$63,"IT",Data_Inputs!$A$4:$A$63,"&lt;="&amp;sel_month)/$F67</f>
        <v>0</v>
      </c>
      <c r="F67" s="16">
        <f>SUMIFS(Data_Inputs!$C$4:$C$63,Data_Inputs!$B$4:$B$63,"IT",Data_Inputs!$A$4:$A$63,"&lt;="&amp;sel_month)/COUNTIFS(Data_Inputs!$B$4:$B$63,"IT",Data_Inputs!$A$4:$A$63,"&lt;="&amp;sel_month)</f>
        <v>0</v>
      </c>
    </row>
    <row r="68" spans="1:6">
      <c r="A68" s="4" t="s">
        <v>15</v>
      </c>
      <c r="B68" s="19">
        <f>SUMIFS(Data_Inputs!$E$4:$E$63,Data_Inputs!$B$4:$B$63,"Finance",Data_Inputs!$A$4:$A$63,"&lt;="&amp;sel_month)/$F68</f>
        <v>0</v>
      </c>
      <c r="C68" s="19">
        <f>SUMIFS(Data_Inputs!$F$4:$F$63,Data_Inputs!$B$4:$B$63,"Finance",Data_Inputs!$A$4:$A$63,"&lt;="&amp;sel_month)/(SUMIFS(Data_Inputs!$G$4:$G$63,Data_Inputs!$B$4:$B$63,"Finance",Data_Inputs!$A$4:$A$63,"&lt;="&amp;sel_month)*$F68)</f>
        <v>0</v>
      </c>
      <c r="D68" s="16">
        <f>SUMIFS(Data_Inputs!$H$4:$H$63,Data_Inputs!$B$4:$B$63,"Finance",Data_Inputs!$A$4:$A$63,"&lt;="&amp;sel_month)/$F68</f>
        <v>0</v>
      </c>
      <c r="F68" s="16">
        <f>SUMIFS(Data_Inputs!$C$4:$C$63,Data_Inputs!$B$4:$B$63,"Finance",Data_Inputs!$A$4:$A$63,"&lt;="&amp;sel_month)/COUNTIFS(Data_Inputs!$B$4:$B$63,"Finance",Data_Inputs!$A$4:$A$63,"&lt;="&amp;sel_month)</f>
        <v>0</v>
      </c>
    </row>
  </sheetData>
  <mergeCells count="10">
    <mergeCell ref="A1:N1"/>
    <mergeCell ref="I2:N3"/>
    <mergeCell ref="A6:B6"/>
    <mergeCell ref="C6:D6"/>
    <mergeCell ref="E6:F6"/>
    <mergeCell ref="G6:H6"/>
    <mergeCell ref="A7:B8"/>
    <mergeCell ref="C7:D8"/>
    <mergeCell ref="E7:F8"/>
    <mergeCell ref="G7:H8"/>
  </mergeCells>
  <conditionalFormatting sqref="B13">
    <cfRule type="iconSet" priority="1">
      <iconSet>
        <cfvo type="percent" val="0"/>
        <cfvo type="num" val="0.12"/>
        <cfvo type="num" val="0.15"/>
      </iconSet>
    </cfRule>
  </conditionalFormatting>
  <conditionalFormatting sqref="B14">
    <cfRule type="iconSet" priority="2">
      <iconSet>
        <cfvo type="percent" val="0"/>
        <cfvo type="num" val="0.03"/>
        <cfvo type="num" val="0.05"/>
      </iconSet>
    </cfRule>
  </conditionalFormatting>
  <conditionalFormatting sqref="B15">
    <cfRule type="iconSet" priority="3">
      <iconSet>
        <cfvo type="percent" val="0"/>
        <cfvo type="num" val="8"/>
        <cfvo type="num" val="12"/>
      </iconSet>
    </cfRule>
  </conditionalFormatting>
  <conditionalFormatting sqref="B64:B68">
    <cfRule type="iconSet" priority="4">
      <iconSet>
        <cfvo type="percent" val="0"/>
        <cfvo type="num" val="0.12"/>
        <cfvo type="num" val="0.15"/>
      </iconSet>
    </cfRule>
  </conditionalFormatting>
  <conditionalFormatting sqref="C64:C68">
    <cfRule type="iconSet" priority="5">
      <iconSet>
        <cfvo type="percent" val="0"/>
        <cfvo type="num" val="0.03"/>
        <cfvo type="num" val="0.05"/>
      </iconSet>
    </cfRule>
  </conditionalFormatting>
  <conditionalFormatting sqref="D64:D68">
    <cfRule type="iconSet" priority="6">
      <iconSet>
        <cfvo type="percent" val="0"/>
        <cfvo type="num" val="8"/>
        <cfvo type="num" val="12"/>
      </iconSet>
    </cfRule>
  </conditionalFormatting>
  <dataValidations count="2">
    <dataValidation type="list" allowBlank="1" showInputMessage="1" showErrorMessage="1" sqref="B3">
      <formula1>rng_departements</formula1>
    </dataValidation>
    <dataValidation type="list" allowBlank="1" showInputMessage="1" showErrorMessage="1" sqref="E3">
      <formula1>rng_mois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Data_Inputs</vt:lpstr>
      <vt:lpstr>Lists</vt:lpstr>
      <vt:lpstr>Targets</vt:lpstr>
      <vt:lpstr>Dashboard</vt:lpstr>
      <vt:lpstr>rng_departements</vt:lpstr>
      <vt:lpstr>rng_mois</vt:lpstr>
      <vt:lpstr>sel_dept</vt:lpstr>
      <vt:lpstr>sel_month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2025-08-22T16:41:44Z</dcterms:created>
  <dcterms:modified xsi:type="dcterms:W3CDTF">2025-08-22T16:41:44Z</dcterms:modified>
</cp:coreProperties>
</file>