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sheets/sheet3.xml" ContentType="application/vnd.openxmlformats-officedocument.spreadsheetml.worksheet+xml"/>
  <Override PartName="/xl/worksheets/sheet4.xml" ContentType="application/vnd.openxmlformats-officedocument.spreadsheetml.worksheet+xml"/>
  <Override PartName="/xl/tables/table3.xml" ContentType="application/vnd.openxmlformats-officedocument.spreadsheetml.table+xml"/>
  <Override PartName="/xl/worksheets/sheet5.xml" ContentType="application/vnd.openxmlformats-officedocument.spreadsheetml.worksheet+xml"/>
  <Override PartName="/xl/tables/table4.xml" ContentType="application/vnd.openxmlformats-officedocument.spreadsheetml.table+xml"/>
  <Override PartName="/xl/worksheets/sheet6.xml" ContentType="application/vnd.openxmlformats-officedocument.spreadsheetml.worksheet+xml"/>
  <Override PartName="/xl/tables/table5.xml" ContentType="application/vnd.openxmlformats-officedocument.spreadsheetml.table+xml"/>
  <Override PartName="/xl/worksheets/sheet7.xml" ContentType="application/vnd.openxmlformats-officedocument.spreadsheetml.worksheet+xml"/>
  <Override PartName="/xl/tables/table6.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arametres" sheetId="1" state="visible" r:id="rId1"/>
    <sheet xmlns:r="http://schemas.openxmlformats.org/officeDocument/2006/relationships" name="Listes" sheetId="2" state="visible" r:id="rId2"/>
    <sheet xmlns:r="http://schemas.openxmlformats.org/officeDocument/2006/relationships" name="Matrice_Compat" sheetId="3" state="visible" r:id="rId3"/>
    <sheet xmlns:r="http://schemas.openxmlformats.org/officeDocument/2006/relationships" name="Retention_Bacs" sheetId="4" state="visible" r:id="rId4"/>
    <sheet xmlns:r="http://schemas.openxmlformats.org/officeDocument/2006/relationships" name="Inventaire_Chimiques" sheetId="5" state="visible" r:id="rId5"/>
    <sheet xmlns:r="http://schemas.openxmlformats.org/officeDocument/2006/relationships" name="Audit_Compat" sheetId="6" state="visible" r:id="rId6"/>
    <sheet xmlns:r="http://schemas.openxmlformats.org/officeDocument/2006/relationships" name="Tableau_de_Bord" sheetId="7" state="visible" r:id="rId7"/>
  </sheets>
  <definedNames/>
  <calcPr calcId="124519" fullCalcOnLoad="1"/>
</workbook>
</file>

<file path=xl/styles.xml><?xml version="1.0" encoding="utf-8"?>
<styleSheet xmlns="http://schemas.openxmlformats.org/spreadsheetml/2006/main">
  <numFmts count="1">
    <numFmt numFmtId="164" formatCode="yyyy-mm-dd"/>
  </numFmts>
  <fonts count="4">
    <font>
      <name val="Calibri"/>
      <family val="2"/>
      <color theme="1"/>
      <sz val="11"/>
      <scheme val="minor"/>
    </font>
    <font>
      <b val="1"/>
      <color rgb="00FFFFFF"/>
      <sz val="14"/>
    </font>
    <font>
      <b val="1"/>
      <color rgb="00FFFFFF"/>
    </font>
    <font>
      <b val="1"/>
    </font>
  </fonts>
  <fills count="9">
    <fill>
      <patternFill/>
    </fill>
    <fill>
      <patternFill patternType="gray125"/>
    </fill>
    <fill>
      <patternFill patternType="solid">
        <fgColor rgb="002C3E50"/>
        <bgColor rgb="002C3E50"/>
      </patternFill>
    </fill>
    <fill>
      <patternFill patternType="solid">
        <fgColor rgb="005D6D7E"/>
        <bgColor rgb="005D6D7E"/>
      </patternFill>
    </fill>
    <fill>
      <patternFill patternType="solid">
        <fgColor rgb="007D3C98"/>
        <bgColor rgb="007D3C98"/>
      </patternFill>
    </fill>
    <fill>
      <patternFill patternType="solid">
        <fgColor rgb="00117A65"/>
        <bgColor rgb="00117A65"/>
      </patternFill>
    </fill>
    <fill>
      <patternFill patternType="solid">
        <fgColor rgb="00196F3D"/>
        <bgColor rgb="00196F3D"/>
      </patternFill>
    </fill>
    <fill>
      <patternFill patternType="solid">
        <fgColor rgb="008E44AD"/>
        <bgColor rgb="008E44AD"/>
      </patternFill>
    </fill>
    <fill>
      <patternFill patternType="solid">
        <fgColor rgb="002E86C1"/>
        <bgColor rgb="002E86C1"/>
      </patternFill>
    </fill>
  </fills>
  <borders count="1">
    <border>
      <left/>
      <right/>
      <top/>
      <bottom/>
      <diagonal/>
    </border>
  </borders>
  <cellStyleXfs count="1">
    <xf numFmtId="0" fontId="0" fillId="0" borderId="0"/>
  </cellStyleXfs>
  <cellXfs count="16">
    <xf numFmtId="0" fontId="0" fillId="0" borderId="0" pivotButton="0" quotePrefix="0" xfId="0"/>
    <xf numFmtId="0" fontId="1" fillId="2" borderId="0" applyAlignment="1" pivotButton="0" quotePrefix="0" xfId="0">
      <alignment horizontal="center" vertical="center"/>
    </xf>
    <xf numFmtId="0" fontId="2" fillId="3" borderId="0" applyAlignment="1" pivotButton="0" quotePrefix="0" xfId="0">
      <alignment horizontal="center" vertical="center" wrapText="1"/>
    </xf>
    <xf numFmtId="0" fontId="1" fillId="4" borderId="0" applyAlignment="1" pivotButton="0" quotePrefix="0" xfId="0">
      <alignment horizontal="center" vertical="center"/>
    </xf>
    <xf numFmtId="0" fontId="2" fillId="4" borderId="0" applyAlignment="1" pivotButton="0" quotePrefix="0" xfId="0">
      <alignment horizontal="center" vertical="center" wrapText="1"/>
    </xf>
    <xf numFmtId="0" fontId="3" fillId="4" borderId="0" applyAlignment="1" pivotButton="0" quotePrefix="0" xfId="0">
      <alignment horizontal="center" vertical="center" wrapText="1"/>
    </xf>
    <xf numFmtId="0" fontId="3" fillId="0" borderId="0" pivotButton="0" quotePrefix="0" xfId="0"/>
    <xf numFmtId="0" fontId="1" fillId="5" borderId="0" applyAlignment="1" pivotButton="0" quotePrefix="0" xfId="0">
      <alignment horizontal="center" vertical="center"/>
    </xf>
    <xf numFmtId="0" fontId="2" fillId="5" borderId="0" applyAlignment="1" pivotButton="0" quotePrefix="0" xfId="0">
      <alignment horizontal="center" vertical="center" wrapText="1"/>
    </xf>
    <xf numFmtId="0" fontId="1" fillId="6" borderId="0" applyAlignment="1" pivotButton="0" quotePrefix="0" xfId="0">
      <alignment horizontal="center" vertical="center"/>
    </xf>
    <xf numFmtId="0" fontId="2" fillId="6" borderId="0" applyAlignment="1" pivotButton="0" quotePrefix="0" xfId="0">
      <alignment horizontal="center" vertical="center" wrapText="1"/>
    </xf>
    <xf numFmtId="164" fontId="0" fillId="0" borderId="0" pivotButton="0" quotePrefix="0" xfId="0"/>
    <xf numFmtId="0" fontId="1" fillId="7" borderId="0" applyAlignment="1" pivotButton="0" quotePrefix="0" xfId="0">
      <alignment horizontal="center" vertical="center"/>
    </xf>
    <xf numFmtId="0" fontId="2" fillId="7" borderId="0" applyAlignment="1" pivotButton="0" quotePrefix="0" xfId="0">
      <alignment horizontal="center" vertical="center" wrapText="1"/>
    </xf>
    <xf numFmtId="0" fontId="1" fillId="8" borderId="0" applyAlignment="1" pivotButton="0" quotePrefix="0" xfId="0">
      <alignment horizontal="center" vertical="center"/>
    </xf>
    <xf numFmtId="0" fontId="2" fillId="8" borderId="0" applyAlignment="1" pivotButton="0" quotePrefix="0" xfId="0">
      <alignment horizontal="center" vertical="center" wrapText="1"/>
    </xf>
  </cellXfs>
  <cellStyles count="1">
    <cellStyle name="Normal" xfId="0" builtinId="0" hidden="0"/>
  </cellStyles>
  <dxfs count="3">
    <dxf>
      <fill>
        <patternFill patternType="solid">
          <fgColor rgb="00F5B7B1"/>
          <bgColor rgb="00F5B7B1"/>
        </patternFill>
      </fill>
    </dxf>
    <dxf>
      <fill>
        <patternFill patternType="solid">
          <fgColor rgb="00F9E79F"/>
          <bgColor rgb="00F9E79F"/>
        </patternFill>
      </fill>
    </dxf>
    <dxf>
      <fill>
        <patternFill patternType="solid">
          <fgColor rgb="00ABEBC6"/>
          <bgColor rgb="00ABEBC6"/>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ables/table1.xml><?xml version="1.0" encoding="utf-8"?>
<table xmlns="http://schemas.openxmlformats.org/spreadsheetml/2006/main" id="1" name="Param_Table" displayName="Param_Table" ref="A2:C10" headerRowCount="1">
  <autoFilter ref="A2:C10"/>
  <tableColumns count="3">
    <tableColumn id="1" name="Clef"/>
    <tableColumn id="2" name="Valeur"/>
    <tableColumn id="3" name="Unité/Note"/>
  </tableColumns>
  <tableStyleInfo name="TableStyleMedium2" showRowStripes="1" showColumnStripes="0"/>
</table>
</file>

<file path=xl/tables/table2.xml><?xml version="1.0" encoding="utf-8"?>
<table xmlns="http://schemas.openxmlformats.org/spreadsheetml/2006/main" id="2" name="Listes_Table" displayName="Listes_Table" ref="A2:B15" headerRowCount="1">
  <autoFilter ref="A2:B15"/>
  <tableColumns count="2">
    <tableColumn id="1" name="Nom Liste"/>
    <tableColumn id="2" name="Valeurs (séparées par des virgules)"/>
  </tableColumns>
  <tableStyleInfo name="TableStyleMedium2" showRowStripes="1" showColumnStripes="0"/>
</table>
</file>

<file path=xl/tables/table3.xml><?xml version="1.0" encoding="utf-8"?>
<table xmlns="http://schemas.openxmlformats.org/spreadsheetml/2006/main" id="3" name="Retention_Table" displayName="Retention_Table" ref="A2:H20" headerRowCount="1">
  <autoFilter ref="A2:H20"/>
  <tableColumns count="8">
    <tableColumn id="1" name="Bac_ID"/>
    <tableColumn id="2" name="Zone"/>
    <tableColumn id="3" name="Règle rétention"/>
    <tableColumn id="4" name="Rétention utile (L)"/>
    <tableColumn id="5" name="Volume total (L) depuis inventaire"/>
    <tableColumn id="6" name="Exigence (L)"/>
    <tableColumn id="7" name="Ratio (%)"/>
    <tableColumn id="8" name="Conformité"/>
  </tableColumns>
  <tableStyleInfo name="TableStyleMedium6" showRowStripes="1" showColumnStripes="0"/>
</table>
</file>

<file path=xl/tables/table4.xml><?xml version="1.0" encoding="utf-8"?>
<table xmlns="http://schemas.openxmlformats.org/spreadsheetml/2006/main" id="4" name="Inventaire_Table" displayName="Inventaire_Table" ref="A2:Z120" headerRowCount="1">
  <autoFilter ref="A2:Z120"/>
  <tableColumns count="26">
    <tableColumn id="1" name="Produit"/>
    <tableColumn id="2" name="Fournisseur/Réf"/>
    <tableColumn id="3" name="CAS"/>
    <tableColumn id="4" name="UN"/>
    <tableColumn id="5" name="Groupe (compat.)"/>
    <tableColumn id="6" name="Classe GHS principale"/>
    <tableColumn id="7" name="Volume unitaire (L)"/>
    <tableColumn id="8" name="Nb contenants"/>
    <tableColumn id="9" name="Volume total (L)"/>
    <tableColumn id="10" name="Zone"/>
    <tableColumn id="11" name="Bac_ID"/>
    <tableColumn id="12" name="Type conteneur"/>
    <tableColumn id="13" name="Règle rétention (bac)"/>
    <tableColumn id="14" name="Rétention utile bac (L)"/>
    <tableColumn id="15" name="Exigence rétention (L)"/>
    <tableColumn id="16" name="Ratio rétention (%)"/>
    <tableColumn id="17" name="Statut compat. bac"/>
    <tableColumn id="18" name="Statut FDS"/>
    <tableColumn id="19" name="Date FDS"/>
    <tableColumn id="20" name="Rappel (Parametres!Rappel_FDS_Mois)"/>
    <tableColumn id="21" name="Lien FDS"/>
    <tableColumn id="22" name="EPI requis"/>
    <tableColumn id="23" name="Température stockage"/>
    <tableColumn id="24" name="Ventilation (Oui/Non)"/>
    <tableColumn id="25" name="Remarques"/>
    <tableColumn id="26" name="None"/>
  </tableColumns>
  <tableStyleInfo name="TableStyleMedium4" showRowStripes="1" showColumnStripes="0"/>
</table>
</file>

<file path=xl/tables/table5.xml><?xml version="1.0" encoding="utf-8"?>
<table xmlns="http://schemas.openxmlformats.org/spreadsheetml/2006/main" id="5" name="Audit_Compat_Table" displayName="Audit_Compat_Table" ref="A2:N20" headerRowCount="1">
  <autoFilter ref="A2:N20"/>
  <tableColumns count="14">
    <tableColumn id="1" name="Bac_ID"/>
    <tableColumn id="2" name="Présence Inflammable"/>
    <tableColumn id="3" name="Présence Oxydant"/>
    <tableColumn id="4" name="Présence Acide"/>
    <tableColumn id="5" name="Présence Base"/>
    <tableColumn id="6" name="Présence Toxique"/>
    <tableColumn id="7" name="Présence Reducteur"/>
    <tableColumn id="8" name="Présence Eau-reactif"/>
    <tableColumn id="9" name="Présence Gaz sous pression"/>
    <tableColumn id="10" name="Présence Combustible"/>
    <tableColumn id="11" name="Présence Autre"/>
    <tableColumn id="12" name="Score Interdit"/>
    <tableColumn id="13" name="Score Séparer"/>
    <tableColumn id="14" name="Statut compatibilité"/>
  </tableColumns>
  <tableStyleInfo name="TableStyleMedium7" showRowStripes="1" showColumnStripes="0"/>
</table>
</file>

<file path=xl/tables/table6.xml><?xml version="1.0" encoding="utf-8"?>
<table xmlns="http://schemas.openxmlformats.org/spreadsheetml/2006/main" id="6" name="Dashboard_Table" displayName="Dashboard_Table" ref="A2:C15" headerRowCount="1">
  <autoFilter ref="A2:C15"/>
  <tableColumns count="3">
    <tableColumn id="1" name="Indicateur"/>
    <tableColumn id="2" name="Valeur"/>
    <tableColumn id="3" name="Note"/>
  </tableColumns>
  <tableStyleInfo name="TableStyleMedium9"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_rels/sheet4.xml.rels><Relationships xmlns="http://schemas.openxmlformats.org/package/2006/relationships"><Relationship Type="http://schemas.openxmlformats.org/officeDocument/2006/relationships/table" Target="/xl/tables/table3.xml" Id="rId1"/></Relationships>
</file>

<file path=xl/worksheets/_rels/sheet5.xml.rels><Relationships xmlns="http://schemas.openxmlformats.org/package/2006/relationships"><Relationship Type="http://schemas.openxmlformats.org/officeDocument/2006/relationships/table" Target="/xl/tables/table4.xml" Id="rId1"/></Relationships>
</file>

<file path=xl/worksheets/_rels/sheet6.xml.rels><Relationships xmlns="http://schemas.openxmlformats.org/package/2006/relationships"><Relationship Type="http://schemas.openxmlformats.org/officeDocument/2006/relationships/table" Target="/xl/tables/table5.xml" Id="rId1"/></Relationships>
</file>

<file path=xl/worksheets/_rels/sheet7.xml.rels><Relationships xmlns="http://schemas.openxmlformats.org/package/2006/relationships"><Relationship Type="http://schemas.openxmlformats.org/officeDocument/2006/relationships/table" Target="/xl/tables/table6.xml" Id="rId1"/></Relationships>
</file>

<file path=xl/worksheets/sheet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28" customWidth="1" min="1" max="1"/>
    <col width="20" customWidth="1" min="2" max="2"/>
    <col width="30" customWidth="1" min="3" max="3"/>
  </cols>
  <sheetData>
    <row r="1" ht="28" customHeight="1">
      <c r="A1" s="1" t="inlineStr">
        <is>
          <t>Paramètres — règles et seuils globaux</t>
        </is>
      </c>
    </row>
    <row r="2">
      <c r="A2" s="2" t="inlineStr">
        <is>
          <t>Clef</t>
        </is>
      </c>
      <c r="B2" s="2" t="inlineStr">
        <is>
          <t>Valeur</t>
        </is>
      </c>
      <c r="C2" s="2" t="inlineStr">
        <is>
          <t>Unité/Note</t>
        </is>
      </c>
      <c r="D2" s="2" t="n"/>
      <c r="E2" s="2" t="n"/>
    </row>
    <row r="3">
      <c r="A3" t="inlineStr">
        <is>
          <t>Rappel_FDS_Mois</t>
        </is>
      </c>
      <c r="B3" t="n">
        <v>36</v>
      </c>
      <c r="C3" t="inlineStr">
        <is>
          <t>Mois avant revue FDS</t>
        </is>
      </c>
    </row>
    <row r="4">
      <c r="A4" t="inlineStr">
        <is>
          <t>Ratio_Retention_Cible</t>
        </is>
      </c>
      <c r="B4" t="n">
        <v>100</v>
      </c>
      <c r="C4" t="inlineStr">
        <is>
          <t>% (cible minimale)</t>
        </is>
      </c>
    </row>
    <row r="5">
      <c r="A5" t="inlineStr">
        <is>
          <t>Delai_Alerte_Retention</t>
        </is>
      </c>
      <c r="B5" t="n">
        <v>100</v>
      </c>
      <c r="C5" t="inlineStr">
        <is>
          <t>% (alerte si &lt; cible)</t>
        </is>
      </c>
    </row>
  </sheetData>
  <mergeCells count="1">
    <mergeCell ref="A1:E1"/>
  </mergeCells>
  <pageMargins left="0.75" right="0.75" top="1" bottom="1" header="0.5" footer="0.5"/>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H9"/>
  <sheetViews>
    <sheetView workbookViewId="0">
      <selection activeCell="A1" sqref="A1"/>
    </sheetView>
  </sheetViews>
  <sheetFormatPr baseColWidth="8" defaultRowHeight="15"/>
  <cols>
    <col width="24" customWidth="1" min="1" max="1"/>
    <col width="84" customWidth="1" min="2" max="2"/>
  </cols>
  <sheetData>
    <row r="1" ht="28" customHeight="1">
      <c r="A1" s="1" t="inlineStr">
        <is>
          <t>Listes — Stockage produits chimiques (validations)</t>
        </is>
      </c>
    </row>
    <row r="2">
      <c r="A2" s="2" t="inlineStr">
        <is>
          <t>Nom Liste</t>
        </is>
      </c>
      <c r="B2" s="2" t="inlineStr">
        <is>
          <t>Valeurs (séparées par des virgules)</t>
        </is>
      </c>
      <c r="C2" s="2" t="n"/>
      <c r="D2" s="2" t="n"/>
      <c r="E2" s="2" t="n"/>
      <c r="F2" s="2" t="n"/>
      <c r="G2" s="2" t="n"/>
      <c r="H2" s="2" t="n"/>
    </row>
    <row r="3">
      <c r="A3" t="inlineStr">
        <is>
          <t>Groupe</t>
        </is>
      </c>
      <c r="B3" t="inlineStr">
        <is>
          <t>Inflammable,Oxydant,Acide,Base,Toxique,Reducteur,Eau-reactif,Gaz sous pression,Combustible,Autre</t>
        </is>
      </c>
    </row>
    <row r="4">
      <c r="A4" t="inlineStr">
        <is>
          <t>GHS</t>
        </is>
      </c>
      <c r="B4" t="inlineStr">
        <is>
          <t>Flamme,Flamme sur cercle (Oxydant),Corrosion,Crâne (toxicité aiguë),Point d'exclamation,Bouteille de gaz,Explosif,Environnement,Danger pour la santé</t>
        </is>
      </c>
    </row>
    <row r="5">
      <c r="A5" t="inlineStr">
        <is>
          <t>Zones</t>
        </is>
      </c>
      <c r="B5" t="inlineStr">
        <is>
          <t>Magasin chimie,Local doseur,Atelier A,Atelier B,Zone 1,Zone 2,Zone 3,Extérieur</t>
        </is>
      </c>
    </row>
    <row r="6">
      <c r="A6" t="inlineStr">
        <is>
          <t>Conteneur</t>
        </is>
      </c>
      <c r="B6" t="inlineStr">
        <is>
          <t>Flacon,Bidon 20L,Fût 200L,IBC 1000L,Bonbonne gaz,Bac rétention 220L,Armoire ventilée,Autre</t>
        </is>
      </c>
    </row>
    <row r="7">
      <c r="A7" t="inlineStr">
        <is>
          <t>Statut_FDS</t>
        </is>
      </c>
      <c r="B7" t="inlineStr">
        <is>
          <t>Disponible,À obtenir</t>
        </is>
      </c>
    </row>
    <row r="8">
      <c r="A8" t="inlineStr">
        <is>
          <t>RegleRet</t>
        </is>
      </c>
      <c r="B8" t="inlineStr">
        <is>
          <t>100% plus grand conteneur,50% du volume total (règle interne)</t>
        </is>
      </c>
    </row>
    <row r="9">
      <c r="A9" t="inlineStr">
        <is>
          <t>CompatStatut</t>
        </is>
      </c>
      <c r="B9" t="inlineStr">
        <is>
          <t>OK,Séparer,Interdit</t>
        </is>
      </c>
    </row>
  </sheetData>
  <mergeCells count="1">
    <mergeCell ref="A1:H1"/>
  </mergeCells>
  <pageMargins left="0.75" right="0.75" top="1" bottom="1" header="0.5" footer="0.5"/>
  <tableParts count="1">
    <tablePart xmlns:r="http://schemas.openxmlformats.org/officeDocument/2006/relationships" r:id="rId1"/>
  </tableParts>
</worksheet>
</file>

<file path=xl/worksheets/sheet3.xml><?xml version="1.0" encoding="utf-8"?>
<worksheet xmlns="http://schemas.openxmlformats.org/spreadsheetml/2006/main">
  <sheetPr>
    <outlinePr summaryBelow="1" summaryRight="1"/>
    <pageSetUpPr/>
  </sheetPr>
  <dimension ref="A1:N37"/>
  <sheetViews>
    <sheetView workbookViewId="0">
      <selection activeCell="A1" sqref="A1"/>
    </sheetView>
  </sheetViews>
  <sheetFormatPr baseColWidth="8" defaultRowHeight="15"/>
  <sheetData>
    <row r="1" ht="28" customHeight="1">
      <c r="A1" s="3" t="inlineStr">
        <is>
          <t>Matrice de compatibilité (indicative) — à confirmer via FDS</t>
        </is>
      </c>
    </row>
    <row r="2">
      <c r="A2" s="4" t="inlineStr">
        <is>
          <t>Groupe</t>
        </is>
      </c>
      <c r="B2" s="5" t="inlineStr">
        <is>
          <t>Inflammable</t>
        </is>
      </c>
      <c r="C2" s="5" t="inlineStr">
        <is>
          <t>Oxydant</t>
        </is>
      </c>
      <c r="D2" s="5" t="inlineStr">
        <is>
          <t>Acide</t>
        </is>
      </c>
      <c r="E2" s="5" t="inlineStr">
        <is>
          <t>Base</t>
        </is>
      </c>
      <c r="F2" s="5" t="inlineStr">
        <is>
          <t>Toxique</t>
        </is>
      </c>
      <c r="G2" s="5" t="inlineStr">
        <is>
          <t>Reducteur</t>
        </is>
      </c>
      <c r="H2" s="5" t="inlineStr">
        <is>
          <t>Eau-reactif</t>
        </is>
      </c>
      <c r="I2" s="5" t="inlineStr">
        <is>
          <t>Gaz sous pression</t>
        </is>
      </c>
      <c r="J2" s="5" t="inlineStr">
        <is>
          <t>Combustible</t>
        </is>
      </c>
      <c r="K2" s="5" t="inlineStr">
        <is>
          <t>Autre</t>
        </is>
      </c>
      <c r="L2" s="4" t="inlineStr"/>
      <c r="M2" s="4" t="n"/>
      <c r="N2" s="4" t="n"/>
    </row>
    <row r="3">
      <c r="A3" s="6" t="inlineStr">
        <is>
          <t>Inflammable</t>
        </is>
      </c>
      <c r="B3" t="inlineStr">
        <is>
          <t>OK</t>
        </is>
      </c>
      <c r="C3" t="inlineStr">
        <is>
          <t>Interdit</t>
        </is>
      </c>
      <c r="D3" t="inlineStr">
        <is>
          <t>OK</t>
        </is>
      </c>
      <c r="E3" t="inlineStr">
        <is>
          <t>OK</t>
        </is>
      </c>
      <c r="F3" t="inlineStr">
        <is>
          <t>Séparer</t>
        </is>
      </c>
      <c r="G3" t="inlineStr">
        <is>
          <t>OK</t>
        </is>
      </c>
      <c r="H3" t="inlineStr">
        <is>
          <t>Interdit</t>
        </is>
      </c>
      <c r="I3" t="inlineStr">
        <is>
          <t>Séparer</t>
        </is>
      </c>
      <c r="J3" t="inlineStr">
        <is>
          <t>OK</t>
        </is>
      </c>
      <c r="K3" t="inlineStr">
        <is>
          <t>OK</t>
        </is>
      </c>
    </row>
    <row r="4">
      <c r="A4" s="6" t="inlineStr">
        <is>
          <t>Oxydant</t>
        </is>
      </c>
      <c r="B4" t="inlineStr">
        <is>
          <t>Interdit</t>
        </is>
      </c>
      <c r="C4" t="inlineStr">
        <is>
          <t>OK</t>
        </is>
      </c>
      <c r="D4" t="inlineStr">
        <is>
          <t>OK</t>
        </is>
      </c>
      <c r="E4" t="inlineStr">
        <is>
          <t>OK</t>
        </is>
      </c>
      <c r="F4" t="inlineStr">
        <is>
          <t>Séparer</t>
        </is>
      </c>
      <c r="G4" t="inlineStr">
        <is>
          <t>Interdit</t>
        </is>
      </c>
      <c r="H4" t="inlineStr">
        <is>
          <t>OK</t>
        </is>
      </c>
      <c r="I4" t="inlineStr">
        <is>
          <t>Séparer</t>
        </is>
      </c>
      <c r="J4" t="inlineStr">
        <is>
          <t>OK</t>
        </is>
      </c>
      <c r="K4" t="inlineStr">
        <is>
          <t>OK</t>
        </is>
      </c>
    </row>
    <row r="5">
      <c r="A5" s="6" t="inlineStr">
        <is>
          <t>Acide</t>
        </is>
      </c>
      <c r="B5" t="inlineStr">
        <is>
          <t>OK</t>
        </is>
      </c>
      <c r="C5" t="inlineStr">
        <is>
          <t>OK</t>
        </is>
      </c>
      <c r="D5" t="inlineStr">
        <is>
          <t>OK</t>
        </is>
      </c>
      <c r="E5" t="inlineStr">
        <is>
          <t>Interdit</t>
        </is>
      </c>
      <c r="F5" t="inlineStr">
        <is>
          <t>OK</t>
        </is>
      </c>
      <c r="G5" t="inlineStr">
        <is>
          <t>Séparer</t>
        </is>
      </c>
      <c r="H5" t="inlineStr">
        <is>
          <t>Interdit</t>
        </is>
      </c>
      <c r="I5" t="inlineStr">
        <is>
          <t>OK</t>
        </is>
      </c>
      <c r="J5" t="inlineStr">
        <is>
          <t>OK</t>
        </is>
      </c>
      <c r="K5" t="inlineStr">
        <is>
          <t>OK</t>
        </is>
      </c>
    </row>
    <row r="6">
      <c r="A6" s="6" t="inlineStr">
        <is>
          <t>Base</t>
        </is>
      </c>
      <c r="B6" t="inlineStr">
        <is>
          <t>OK</t>
        </is>
      </c>
      <c r="C6" t="inlineStr">
        <is>
          <t>OK</t>
        </is>
      </c>
      <c r="D6" t="inlineStr">
        <is>
          <t>Interdit</t>
        </is>
      </c>
      <c r="E6" t="inlineStr">
        <is>
          <t>OK</t>
        </is>
      </c>
      <c r="F6" t="inlineStr">
        <is>
          <t>OK</t>
        </is>
      </c>
      <c r="G6" t="inlineStr">
        <is>
          <t>Séparer</t>
        </is>
      </c>
      <c r="H6" t="inlineStr">
        <is>
          <t>Interdit</t>
        </is>
      </c>
      <c r="I6" t="inlineStr">
        <is>
          <t>OK</t>
        </is>
      </c>
      <c r="J6" t="inlineStr">
        <is>
          <t>OK</t>
        </is>
      </c>
      <c r="K6" t="inlineStr">
        <is>
          <t>OK</t>
        </is>
      </c>
    </row>
    <row r="7">
      <c r="A7" s="6" t="inlineStr">
        <is>
          <t>Toxique</t>
        </is>
      </c>
      <c r="B7" t="inlineStr">
        <is>
          <t>Séparer</t>
        </is>
      </c>
      <c r="C7" t="inlineStr">
        <is>
          <t>Séparer</t>
        </is>
      </c>
      <c r="D7" t="inlineStr">
        <is>
          <t>OK</t>
        </is>
      </c>
      <c r="E7" t="inlineStr">
        <is>
          <t>OK</t>
        </is>
      </c>
      <c r="F7" t="inlineStr">
        <is>
          <t>OK</t>
        </is>
      </c>
      <c r="G7" t="inlineStr">
        <is>
          <t>OK</t>
        </is>
      </c>
      <c r="H7" t="inlineStr">
        <is>
          <t>OK</t>
        </is>
      </c>
      <c r="I7" t="inlineStr">
        <is>
          <t>OK</t>
        </is>
      </c>
      <c r="J7" t="inlineStr">
        <is>
          <t>OK</t>
        </is>
      </c>
      <c r="K7" t="inlineStr">
        <is>
          <t>OK</t>
        </is>
      </c>
    </row>
    <row r="8">
      <c r="A8" s="6" t="inlineStr">
        <is>
          <t>Reducteur</t>
        </is>
      </c>
      <c r="B8" t="inlineStr">
        <is>
          <t>OK</t>
        </is>
      </c>
      <c r="C8" t="inlineStr">
        <is>
          <t>Interdit</t>
        </is>
      </c>
      <c r="D8" t="inlineStr">
        <is>
          <t>Séparer</t>
        </is>
      </c>
      <c r="E8" t="inlineStr">
        <is>
          <t>Séparer</t>
        </is>
      </c>
      <c r="F8" t="inlineStr">
        <is>
          <t>OK</t>
        </is>
      </c>
      <c r="G8" t="inlineStr">
        <is>
          <t>OK</t>
        </is>
      </c>
      <c r="H8" t="inlineStr">
        <is>
          <t>OK</t>
        </is>
      </c>
      <c r="I8" t="inlineStr">
        <is>
          <t>OK</t>
        </is>
      </c>
      <c r="J8" t="inlineStr">
        <is>
          <t>OK</t>
        </is>
      </c>
      <c r="K8" t="inlineStr">
        <is>
          <t>OK</t>
        </is>
      </c>
    </row>
    <row r="9">
      <c r="A9" s="6" t="inlineStr">
        <is>
          <t>Eau-reactif</t>
        </is>
      </c>
      <c r="B9" t="inlineStr">
        <is>
          <t>Interdit</t>
        </is>
      </c>
      <c r="C9" t="inlineStr">
        <is>
          <t>OK</t>
        </is>
      </c>
      <c r="D9" t="inlineStr">
        <is>
          <t>Interdit</t>
        </is>
      </c>
      <c r="E9" t="inlineStr">
        <is>
          <t>Interdit</t>
        </is>
      </c>
      <c r="F9" t="inlineStr">
        <is>
          <t>OK</t>
        </is>
      </c>
      <c r="G9" t="inlineStr">
        <is>
          <t>OK</t>
        </is>
      </c>
      <c r="H9" t="inlineStr">
        <is>
          <t>OK</t>
        </is>
      </c>
      <c r="I9" t="inlineStr">
        <is>
          <t>OK</t>
        </is>
      </c>
      <c r="J9" t="inlineStr">
        <is>
          <t>OK</t>
        </is>
      </c>
      <c r="K9" t="inlineStr">
        <is>
          <t>OK</t>
        </is>
      </c>
    </row>
    <row r="10">
      <c r="A10" s="6" t="inlineStr">
        <is>
          <t>Gaz sous pression</t>
        </is>
      </c>
      <c r="B10" t="inlineStr">
        <is>
          <t>Séparer</t>
        </is>
      </c>
      <c r="C10" t="inlineStr">
        <is>
          <t>Séparer</t>
        </is>
      </c>
      <c r="D10" t="inlineStr">
        <is>
          <t>OK</t>
        </is>
      </c>
      <c r="E10" t="inlineStr">
        <is>
          <t>OK</t>
        </is>
      </c>
      <c r="F10" t="inlineStr">
        <is>
          <t>OK</t>
        </is>
      </c>
      <c r="G10" t="inlineStr">
        <is>
          <t>OK</t>
        </is>
      </c>
      <c r="H10" t="inlineStr">
        <is>
          <t>OK</t>
        </is>
      </c>
      <c r="I10" t="inlineStr">
        <is>
          <t>OK</t>
        </is>
      </c>
      <c r="J10" t="inlineStr">
        <is>
          <t>OK</t>
        </is>
      </c>
      <c r="K10" t="inlineStr">
        <is>
          <t>OK</t>
        </is>
      </c>
    </row>
    <row r="11">
      <c r="A11" s="6" t="inlineStr">
        <is>
          <t>Combustible</t>
        </is>
      </c>
      <c r="B11" t="inlineStr">
        <is>
          <t>OK</t>
        </is>
      </c>
      <c r="C11" t="inlineStr">
        <is>
          <t>OK</t>
        </is>
      </c>
      <c r="D11" t="inlineStr">
        <is>
          <t>OK</t>
        </is>
      </c>
      <c r="E11" t="inlineStr">
        <is>
          <t>OK</t>
        </is>
      </c>
      <c r="F11" t="inlineStr">
        <is>
          <t>OK</t>
        </is>
      </c>
      <c r="G11" t="inlineStr">
        <is>
          <t>OK</t>
        </is>
      </c>
      <c r="H11" t="inlineStr">
        <is>
          <t>OK</t>
        </is>
      </c>
      <c r="I11" t="inlineStr">
        <is>
          <t>OK</t>
        </is>
      </c>
      <c r="J11" t="inlineStr">
        <is>
          <t>OK</t>
        </is>
      </c>
      <c r="K11" t="inlineStr">
        <is>
          <t>OK</t>
        </is>
      </c>
    </row>
    <row r="12">
      <c r="A12" s="6" t="inlineStr">
        <is>
          <t>Autre</t>
        </is>
      </c>
      <c r="B12" t="inlineStr">
        <is>
          <t>OK</t>
        </is>
      </c>
      <c r="C12" t="inlineStr">
        <is>
          <t>OK</t>
        </is>
      </c>
      <c r="D12" t="inlineStr">
        <is>
          <t>OK</t>
        </is>
      </c>
      <c r="E12" t="inlineStr">
        <is>
          <t>OK</t>
        </is>
      </c>
      <c r="F12" t="inlineStr">
        <is>
          <t>OK</t>
        </is>
      </c>
      <c r="G12" t="inlineStr">
        <is>
          <t>OK</t>
        </is>
      </c>
      <c r="H12" t="inlineStr">
        <is>
          <t>OK</t>
        </is>
      </c>
      <c r="I12" t="inlineStr">
        <is>
          <t>OK</t>
        </is>
      </c>
      <c r="J12" t="inlineStr">
        <is>
          <t>OK</t>
        </is>
      </c>
      <c r="K12" t="inlineStr">
        <is>
          <t>OK</t>
        </is>
      </c>
    </row>
    <row r="14">
      <c r="A14" t="inlineStr">
        <is>
          <t>M_Interdit (1=Interdit;0=sinon)</t>
        </is>
      </c>
    </row>
    <row r="15">
      <c r="A15" t="inlineStr"/>
      <c r="B15" s="6" t="inlineStr">
        <is>
          <t>Inflammable</t>
        </is>
      </c>
      <c r="C15" s="6" t="inlineStr">
        <is>
          <t>Oxydant</t>
        </is>
      </c>
      <c r="D15" s="6" t="inlineStr">
        <is>
          <t>Acide</t>
        </is>
      </c>
      <c r="E15" s="6" t="inlineStr">
        <is>
          <t>Base</t>
        </is>
      </c>
      <c r="F15" s="6" t="inlineStr">
        <is>
          <t>Toxique</t>
        </is>
      </c>
      <c r="G15" s="6" t="inlineStr">
        <is>
          <t>Reducteur</t>
        </is>
      </c>
      <c r="H15" s="6" t="inlineStr">
        <is>
          <t>Eau-reactif</t>
        </is>
      </c>
      <c r="I15" s="6" t="inlineStr">
        <is>
          <t>Gaz sous pression</t>
        </is>
      </c>
      <c r="J15" s="6" t="inlineStr">
        <is>
          <t>Combustible</t>
        </is>
      </c>
      <c r="K15" s="6" t="inlineStr">
        <is>
          <t>Autre</t>
        </is>
      </c>
    </row>
    <row r="16">
      <c r="A16" s="6" t="inlineStr">
        <is>
          <t>Inflammable</t>
        </is>
      </c>
      <c r="B16">
        <f>SI(INDEX($B$3:$K$12;1;1)="Interdit";1;0)</f>
        <v/>
      </c>
      <c r="C16">
        <f>SI(INDEX($B$3:$K$12;1;2)="Interdit";1;0)</f>
        <v/>
      </c>
      <c r="D16">
        <f>SI(INDEX($B$3:$K$12;1;3)="Interdit";1;0)</f>
        <v/>
      </c>
      <c r="E16">
        <f>SI(INDEX($B$3:$K$12;1;4)="Interdit";1;0)</f>
        <v/>
      </c>
      <c r="F16">
        <f>SI(INDEX($B$3:$K$12;1;5)="Interdit";1;0)</f>
        <v/>
      </c>
      <c r="G16">
        <f>SI(INDEX($B$3:$K$12;1;6)="Interdit";1;0)</f>
        <v/>
      </c>
      <c r="H16">
        <f>SI(INDEX($B$3:$K$12;1;7)="Interdit";1;0)</f>
        <v/>
      </c>
      <c r="I16">
        <f>SI(INDEX($B$3:$K$12;1;8)="Interdit";1;0)</f>
        <v/>
      </c>
      <c r="J16">
        <f>SI(INDEX($B$3:$K$12;1;9)="Interdit";1;0)</f>
        <v/>
      </c>
      <c r="K16">
        <f>SI(INDEX($B$3:$K$12;1;10)="Interdit";1;0)</f>
        <v/>
      </c>
    </row>
    <row r="17">
      <c r="A17" s="6" t="inlineStr">
        <is>
          <t>Oxydant</t>
        </is>
      </c>
      <c r="B17">
        <f>SI(INDEX($B$3:$K$12;2;1)="Interdit";1;0)</f>
        <v/>
      </c>
      <c r="C17">
        <f>SI(INDEX($B$3:$K$12;2;2)="Interdit";1;0)</f>
        <v/>
      </c>
      <c r="D17">
        <f>SI(INDEX($B$3:$K$12;2;3)="Interdit";1;0)</f>
        <v/>
      </c>
      <c r="E17">
        <f>SI(INDEX($B$3:$K$12;2;4)="Interdit";1;0)</f>
        <v/>
      </c>
      <c r="F17">
        <f>SI(INDEX($B$3:$K$12;2;5)="Interdit";1;0)</f>
        <v/>
      </c>
      <c r="G17">
        <f>SI(INDEX($B$3:$K$12;2;6)="Interdit";1;0)</f>
        <v/>
      </c>
      <c r="H17">
        <f>SI(INDEX($B$3:$K$12;2;7)="Interdit";1;0)</f>
        <v/>
      </c>
      <c r="I17">
        <f>SI(INDEX($B$3:$K$12;2;8)="Interdit";1;0)</f>
        <v/>
      </c>
      <c r="J17">
        <f>SI(INDEX($B$3:$K$12;2;9)="Interdit";1;0)</f>
        <v/>
      </c>
      <c r="K17">
        <f>SI(INDEX($B$3:$K$12;2;10)="Interdit";1;0)</f>
        <v/>
      </c>
    </row>
    <row r="18">
      <c r="A18" s="6" t="inlineStr">
        <is>
          <t>Acide</t>
        </is>
      </c>
      <c r="B18">
        <f>SI(INDEX($B$3:$K$12;3;1)="Interdit";1;0)</f>
        <v/>
      </c>
      <c r="C18">
        <f>SI(INDEX($B$3:$K$12;3;2)="Interdit";1;0)</f>
        <v/>
      </c>
      <c r="D18">
        <f>SI(INDEX($B$3:$K$12;3;3)="Interdit";1;0)</f>
        <v/>
      </c>
      <c r="E18">
        <f>SI(INDEX($B$3:$K$12;3;4)="Interdit";1;0)</f>
        <v/>
      </c>
      <c r="F18">
        <f>SI(INDEX($B$3:$K$12;3;5)="Interdit";1;0)</f>
        <v/>
      </c>
      <c r="G18">
        <f>SI(INDEX($B$3:$K$12;3;6)="Interdit";1;0)</f>
        <v/>
      </c>
      <c r="H18">
        <f>SI(INDEX($B$3:$K$12;3;7)="Interdit";1;0)</f>
        <v/>
      </c>
      <c r="I18">
        <f>SI(INDEX($B$3:$K$12;3;8)="Interdit";1;0)</f>
        <v/>
      </c>
      <c r="J18">
        <f>SI(INDEX($B$3:$K$12;3;9)="Interdit";1;0)</f>
        <v/>
      </c>
      <c r="K18">
        <f>SI(INDEX($B$3:$K$12;3;10)="Interdit";1;0)</f>
        <v/>
      </c>
    </row>
    <row r="19">
      <c r="A19" s="6" t="inlineStr">
        <is>
          <t>Base</t>
        </is>
      </c>
      <c r="B19">
        <f>SI(INDEX($B$3:$K$12;4;1)="Interdit";1;0)</f>
        <v/>
      </c>
      <c r="C19">
        <f>SI(INDEX($B$3:$K$12;4;2)="Interdit";1;0)</f>
        <v/>
      </c>
      <c r="D19">
        <f>SI(INDEX($B$3:$K$12;4;3)="Interdit";1;0)</f>
        <v/>
      </c>
      <c r="E19">
        <f>SI(INDEX($B$3:$K$12;4;4)="Interdit";1;0)</f>
        <v/>
      </c>
      <c r="F19">
        <f>SI(INDEX($B$3:$K$12;4;5)="Interdit";1;0)</f>
        <v/>
      </c>
      <c r="G19">
        <f>SI(INDEX($B$3:$K$12;4;6)="Interdit";1;0)</f>
        <v/>
      </c>
      <c r="H19">
        <f>SI(INDEX($B$3:$K$12;4;7)="Interdit";1;0)</f>
        <v/>
      </c>
      <c r="I19">
        <f>SI(INDEX($B$3:$K$12;4;8)="Interdit";1;0)</f>
        <v/>
      </c>
      <c r="J19">
        <f>SI(INDEX($B$3:$K$12;4;9)="Interdit";1;0)</f>
        <v/>
      </c>
      <c r="K19">
        <f>SI(INDEX($B$3:$K$12;4;10)="Interdit";1;0)</f>
        <v/>
      </c>
    </row>
    <row r="20">
      <c r="A20" s="6" t="inlineStr">
        <is>
          <t>Toxique</t>
        </is>
      </c>
      <c r="B20">
        <f>SI(INDEX($B$3:$K$12;5;1)="Interdit";1;0)</f>
        <v/>
      </c>
      <c r="C20">
        <f>SI(INDEX($B$3:$K$12;5;2)="Interdit";1;0)</f>
        <v/>
      </c>
      <c r="D20">
        <f>SI(INDEX($B$3:$K$12;5;3)="Interdit";1;0)</f>
        <v/>
      </c>
      <c r="E20">
        <f>SI(INDEX($B$3:$K$12;5;4)="Interdit";1;0)</f>
        <v/>
      </c>
      <c r="F20">
        <f>SI(INDEX($B$3:$K$12;5;5)="Interdit";1;0)</f>
        <v/>
      </c>
      <c r="G20">
        <f>SI(INDEX($B$3:$K$12;5;6)="Interdit";1;0)</f>
        <v/>
      </c>
      <c r="H20">
        <f>SI(INDEX($B$3:$K$12;5;7)="Interdit";1;0)</f>
        <v/>
      </c>
      <c r="I20">
        <f>SI(INDEX($B$3:$K$12;5;8)="Interdit";1;0)</f>
        <v/>
      </c>
      <c r="J20">
        <f>SI(INDEX($B$3:$K$12;5;9)="Interdit";1;0)</f>
        <v/>
      </c>
      <c r="K20">
        <f>SI(INDEX($B$3:$K$12;5;10)="Interdit";1;0)</f>
        <v/>
      </c>
    </row>
    <row r="21">
      <c r="A21" s="6" t="inlineStr">
        <is>
          <t>Reducteur</t>
        </is>
      </c>
      <c r="B21">
        <f>SI(INDEX($B$3:$K$12;6;1)="Interdit";1;0)</f>
        <v/>
      </c>
      <c r="C21">
        <f>SI(INDEX($B$3:$K$12;6;2)="Interdit";1;0)</f>
        <v/>
      </c>
      <c r="D21">
        <f>SI(INDEX($B$3:$K$12;6;3)="Interdit";1;0)</f>
        <v/>
      </c>
      <c r="E21">
        <f>SI(INDEX($B$3:$K$12;6;4)="Interdit";1;0)</f>
        <v/>
      </c>
      <c r="F21">
        <f>SI(INDEX($B$3:$K$12;6;5)="Interdit";1;0)</f>
        <v/>
      </c>
      <c r="G21">
        <f>SI(INDEX($B$3:$K$12;6;6)="Interdit";1;0)</f>
        <v/>
      </c>
      <c r="H21">
        <f>SI(INDEX($B$3:$K$12;6;7)="Interdit";1;0)</f>
        <v/>
      </c>
      <c r="I21">
        <f>SI(INDEX($B$3:$K$12;6;8)="Interdit";1;0)</f>
        <v/>
      </c>
      <c r="J21">
        <f>SI(INDEX($B$3:$K$12;6;9)="Interdit";1;0)</f>
        <v/>
      </c>
      <c r="K21">
        <f>SI(INDEX($B$3:$K$12;6;10)="Interdit";1;0)</f>
        <v/>
      </c>
    </row>
    <row r="22">
      <c r="A22" s="6" t="inlineStr">
        <is>
          <t>Eau-reactif</t>
        </is>
      </c>
      <c r="B22">
        <f>SI(INDEX($B$3:$K$12;7;1)="Interdit";1;0)</f>
        <v/>
      </c>
      <c r="C22">
        <f>SI(INDEX($B$3:$K$12;7;2)="Interdit";1;0)</f>
        <v/>
      </c>
      <c r="D22">
        <f>SI(INDEX($B$3:$K$12;7;3)="Interdit";1;0)</f>
        <v/>
      </c>
      <c r="E22">
        <f>SI(INDEX($B$3:$K$12;7;4)="Interdit";1;0)</f>
        <v/>
      </c>
      <c r="F22">
        <f>SI(INDEX($B$3:$K$12;7;5)="Interdit";1;0)</f>
        <v/>
      </c>
      <c r="G22">
        <f>SI(INDEX($B$3:$K$12;7;6)="Interdit";1;0)</f>
        <v/>
      </c>
      <c r="H22">
        <f>SI(INDEX($B$3:$K$12;7;7)="Interdit";1;0)</f>
        <v/>
      </c>
      <c r="I22">
        <f>SI(INDEX($B$3:$K$12;7;8)="Interdit";1;0)</f>
        <v/>
      </c>
      <c r="J22">
        <f>SI(INDEX($B$3:$K$12;7;9)="Interdit";1;0)</f>
        <v/>
      </c>
      <c r="K22">
        <f>SI(INDEX($B$3:$K$12;7;10)="Interdit";1;0)</f>
        <v/>
      </c>
    </row>
    <row r="23">
      <c r="A23" s="6" t="inlineStr">
        <is>
          <t>Gaz sous pression</t>
        </is>
      </c>
      <c r="B23">
        <f>SI(INDEX($B$3:$K$12;8;1)="Interdit";1;0)</f>
        <v/>
      </c>
      <c r="C23">
        <f>SI(INDEX($B$3:$K$12;8;2)="Interdit";1;0)</f>
        <v/>
      </c>
      <c r="D23">
        <f>SI(INDEX($B$3:$K$12;8;3)="Interdit";1;0)</f>
        <v/>
      </c>
      <c r="E23">
        <f>SI(INDEX($B$3:$K$12;8;4)="Interdit";1;0)</f>
        <v/>
      </c>
      <c r="F23">
        <f>SI(INDEX($B$3:$K$12;8;5)="Interdit";1;0)</f>
        <v/>
      </c>
      <c r="G23">
        <f>SI(INDEX($B$3:$K$12;8;6)="Interdit";1;0)</f>
        <v/>
      </c>
      <c r="H23">
        <f>SI(INDEX($B$3:$K$12;8;7)="Interdit";1;0)</f>
        <v/>
      </c>
      <c r="I23">
        <f>SI(INDEX($B$3:$K$12;8;8)="Interdit";1;0)</f>
        <v/>
      </c>
      <c r="J23">
        <f>SI(INDEX($B$3:$K$12;8;9)="Interdit";1;0)</f>
        <v/>
      </c>
      <c r="K23">
        <f>SI(INDEX($B$3:$K$12;8;10)="Interdit";1;0)</f>
        <v/>
      </c>
    </row>
    <row r="24">
      <c r="A24" s="6" t="inlineStr">
        <is>
          <t>Combustible</t>
        </is>
      </c>
      <c r="B24">
        <f>SI(INDEX($B$3:$K$12;9;1)="Interdit";1;0)</f>
        <v/>
      </c>
      <c r="C24">
        <f>SI(INDEX($B$3:$K$12;9;2)="Interdit";1;0)</f>
        <v/>
      </c>
      <c r="D24">
        <f>SI(INDEX($B$3:$K$12;9;3)="Interdit";1;0)</f>
        <v/>
      </c>
      <c r="E24">
        <f>SI(INDEX($B$3:$K$12;9;4)="Interdit";1;0)</f>
        <v/>
      </c>
      <c r="F24">
        <f>SI(INDEX($B$3:$K$12;9;5)="Interdit";1;0)</f>
        <v/>
      </c>
      <c r="G24">
        <f>SI(INDEX($B$3:$K$12;9;6)="Interdit";1;0)</f>
        <v/>
      </c>
      <c r="H24">
        <f>SI(INDEX($B$3:$K$12;9;7)="Interdit";1;0)</f>
        <v/>
      </c>
      <c r="I24">
        <f>SI(INDEX($B$3:$K$12;9;8)="Interdit";1;0)</f>
        <v/>
      </c>
      <c r="J24">
        <f>SI(INDEX($B$3:$K$12;9;9)="Interdit";1;0)</f>
        <v/>
      </c>
      <c r="K24">
        <f>SI(INDEX($B$3:$K$12;9;10)="Interdit";1;0)</f>
        <v/>
      </c>
    </row>
    <row r="25">
      <c r="A25" s="6" t="inlineStr">
        <is>
          <t>Autre</t>
        </is>
      </c>
      <c r="B25">
        <f>SI(INDEX($B$3:$K$12;10;1)="Interdit";1;0)</f>
        <v/>
      </c>
      <c r="C25">
        <f>SI(INDEX($B$3:$K$12;10;2)="Interdit";1;0)</f>
        <v/>
      </c>
      <c r="D25">
        <f>SI(INDEX($B$3:$K$12;10;3)="Interdit";1;0)</f>
        <v/>
      </c>
      <c r="E25">
        <f>SI(INDEX($B$3:$K$12;10;4)="Interdit";1;0)</f>
        <v/>
      </c>
      <c r="F25">
        <f>SI(INDEX($B$3:$K$12;10;5)="Interdit";1;0)</f>
        <v/>
      </c>
      <c r="G25">
        <f>SI(INDEX($B$3:$K$12;10;6)="Interdit";1;0)</f>
        <v/>
      </c>
      <c r="H25">
        <f>SI(INDEX($B$3:$K$12;10;7)="Interdit";1;0)</f>
        <v/>
      </c>
      <c r="I25">
        <f>SI(INDEX($B$3:$K$12;10;8)="Interdit";1;0)</f>
        <v/>
      </c>
      <c r="J25">
        <f>SI(INDEX($B$3:$K$12;10;9)="Interdit";1;0)</f>
        <v/>
      </c>
      <c r="K25">
        <f>SI(INDEX($B$3:$K$12;10;10)="Interdit";1;0)</f>
        <v/>
      </c>
    </row>
    <row r="26">
      <c r="A26" t="inlineStr">
        <is>
          <t>M_Séparer (1=Séparer;0=sinon)</t>
        </is>
      </c>
    </row>
    <row r="27">
      <c r="A27" t="inlineStr"/>
      <c r="B27" s="6" t="inlineStr">
        <is>
          <t>Inflammable</t>
        </is>
      </c>
      <c r="C27" s="6" t="inlineStr">
        <is>
          <t>Oxydant</t>
        </is>
      </c>
      <c r="D27" s="6" t="inlineStr">
        <is>
          <t>Acide</t>
        </is>
      </c>
      <c r="E27" s="6" t="inlineStr">
        <is>
          <t>Base</t>
        </is>
      </c>
      <c r="F27" s="6" t="inlineStr">
        <is>
          <t>Toxique</t>
        </is>
      </c>
      <c r="G27" s="6" t="inlineStr">
        <is>
          <t>Reducteur</t>
        </is>
      </c>
      <c r="H27" s="6" t="inlineStr">
        <is>
          <t>Eau-reactif</t>
        </is>
      </c>
      <c r="I27" s="6" t="inlineStr">
        <is>
          <t>Gaz sous pression</t>
        </is>
      </c>
      <c r="J27" s="6" t="inlineStr">
        <is>
          <t>Combustible</t>
        </is>
      </c>
      <c r="K27" s="6" t="inlineStr">
        <is>
          <t>Autre</t>
        </is>
      </c>
    </row>
    <row r="28">
      <c r="A28" s="6" t="inlineStr">
        <is>
          <t>Inflammable</t>
        </is>
      </c>
      <c r="B28">
        <f>SI(INDEX($B$3:$K$12;1;1)="Séparer";1;0)</f>
        <v/>
      </c>
      <c r="C28">
        <f>SI(INDEX($B$3:$K$12;1;2)="Séparer";1;0)</f>
        <v/>
      </c>
      <c r="D28">
        <f>SI(INDEX($B$3:$K$12;1;3)="Séparer";1;0)</f>
        <v/>
      </c>
      <c r="E28">
        <f>SI(INDEX($B$3:$K$12;1;4)="Séparer";1;0)</f>
        <v/>
      </c>
      <c r="F28">
        <f>SI(INDEX($B$3:$K$12;1;5)="Séparer";1;0)</f>
        <v/>
      </c>
      <c r="G28">
        <f>SI(INDEX($B$3:$K$12;1;6)="Séparer";1;0)</f>
        <v/>
      </c>
      <c r="H28">
        <f>SI(INDEX($B$3:$K$12;1;7)="Séparer";1;0)</f>
        <v/>
      </c>
      <c r="I28">
        <f>SI(INDEX($B$3:$K$12;1;8)="Séparer";1;0)</f>
        <v/>
      </c>
      <c r="J28">
        <f>SI(INDEX($B$3:$K$12;1;9)="Séparer";1;0)</f>
        <v/>
      </c>
      <c r="K28">
        <f>SI(INDEX($B$3:$K$12;1;10)="Séparer";1;0)</f>
        <v/>
      </c>
    </row>
    <row r="29">
      <c r="A29" s="6" t="inlineStr">
        <is>
          <t>Oxydant</t>
        </is>
      </c>
      <c r="B29">
        <f>SI(INDEX($B$3:$K$12;2;1)="Séparer";1;0)</f>
        <v/>
      </c>
      <c r="C29">
        <f>SI(INDEX($B$3:$K$12;2;2)="Séparer";1;0)</f>
        <v/>
      </c>
      <c r="D29">
        <f>SI(INDEX($B$3:$K$12;2;3)="Séparer";1;0)</f>
        <v/>
      </c>
      <c r="E29">
        <f>SI(INDEX($B$3:$K$12;2;4)="Séparer";1;0)</f>
        <v/>
      </c>
      <c r="F29">
        <f>SI(INDEX($B$3:$K$12;2;5)="Séparer";1;0)</f>
        <v/>
      </c>
      <c r="G29">
        <f>SI(INDEX($B$3:$K$12;2;6)="Séparer";1;0)</f>
        <v/>
      </c>
      <c r="H29">
        <f>SI(INDEX($B$3:$K$12;2;7)="Séparer";1;0)</f>
        <v/>
      </c>
      <c r="I29">
        <f>SI(INDEX($B$3:$K$12;2;8)="Séparer";1;0)</f>
        <v/>
      </c>
      <c r="J29">
        <f>SI(INDEX($B$3:$K$12;2;9)="Séparer";1;0)</f>
        <v/>
      </c>
      <c r="K29">
        <f>SI(INDEX($B$3:$K$12;2;10)="Séparer";1;0)</f>
        <v/>
      </c>
    </row>
    <row r="30">
      <c r="A30" s="6" t="inlineStr">
        <is>
          <t>Acide</t>
        </is>
      </c>
      <c r="B30">
        <f>SI(INDEX($B$3:$K$12;3;1)="Séparer";1;0)</f>
        <v/>
      </c>
      <c r="C30">
        <f>SI(INDEX($B$3:$K$12;3;2)="Séparer";1;0)</f>
        <v/>
      </c>
      <c r="D30">
        <f>SI(INDEX($B$3:$K$12;3;3)="Séparer";1;0)</f>
        <v/>
      </c>
      <c r="E30">
        <f>SI(INDEX($B$3:$K$12;3;4)="Séparer";1;0)</f>
        <v/>
      </c>
      <c r="F30">
        <f>SI(INDEX($B$3:$K$12;3;5)="Séparer";1;0)</f>
        <v/>
      </c>
      <c r="G30">
        <f>SI(INDEX($B$3:$K$12;3;6)="Séparer";1;0)</f>
        <v/>
      </c>
      <c r="H30">
        <f>SI(INDEX($B$3:$K$12;3;7)="Séparer";1;0)</f>
        <v/>
      </c>
      <c r="I30">
        <f>SI(INDEX($B$3:$K$12;3;8)="Séparer";1;0)</f>
        <v/>
      </c>
      <c r="J30">
        <f>SI(INDEX($B$3:$K$12;3;9)="Séparer";1;0)</f>
        <v/>
      </c>
      <c r="K30">
        <f>SI(INDEX($B$3:$K$12;3;10)="Séparer";1;0)</f>
        <v/>
      </c>
    </row>
    <row r="31">
      <c r="A31" s="6" t="inlineStr">
        <is>
          <t>Base</t>
        </is>
      </c>
      <c r="B31">
        <f>SI(INDEX($B$3:$K$12;4;1)="Séparer";1;0)</f>
        <v/>
      </c>
      <c r="C31">
        <f>SI(INDEX($B$3:$K$12;4;2)="Séparer";1;0)</f>
        <v/>
      </c>
      <c r="D31">
        <f>SI(INDEX($B$3:$K$12;4;3)="Séparer";1;0)</f>
        <v/>
      </c>
      <c r="E31">
        <f>SI(INDEX($B$3:$K$12;4;4)="Séparer";1;0)</f>
        <v/>
      </c>
      <c r="F31">
        <f>SI(INDEX($B$3:$K$12;4;5)="Séparer";1;0)</f>
        <v/>
      </c>
      <c r="G31">
        <f>SI(INDEX($B$3:$K$12;4;6)="Séparer";1;0)</f>
        <v/>
      </c>
      <c r="H31">
        <f>SI(INDEX($B$3:$K$12;4;7)="Séparer";1;0)</f>
        <v/>
      </c>
      <c r="I31">
        <f>SI(INDEX($B$3:$K$12;4;8)="Séparer";1;0)</f>
        <v/>
      </c>
      <c r="J31">
        <f>SI(INDEX($B$3:$K$12;4;9)="Séparer";1;0)</f>
        <v/>
      </c>
      <c r="K31">
        <f>SI(INDEX($B$3:$K$12;4;10)="Séparer";1;0)</f>
        <v/>
      </c>
    </row>
    <row r="32">
      <c r="A32" s="6" t="inlineStr">
        <is>
          <t>Toxique</t>
        </is>
      </c>
      <c r="B32">
        <f>SI(INDEX($B$3:$K$12;5;1)="Séparer";1;0)</f>
        <v/>
      </c>
      <c r="C32">
        <f>SI(INDEX($B$3:$K$12;5;2)="Séparer";1;0)</f>
        <v/>
      </c>
      <c r="D32">
        <f>SI(INDEX($B$3:$K$12;5;3)="Séparer";1;0)</f>
        <v/>
      </c>
      <c r="E32">
        <f>SI(INDEX($B$3:$K$12;5;4)="Séparer";1;0)</f>
        <v/>
      </c>
      <c r="F32">
        <f>SI(INDEX($B$3:$K$12;5;5)="Séparer";1;0)</f>
        <v/>
      </c>
      <c r="G32">
        <f>SI(INDEX($B$3:$K$12;5;6)="Séparer";1;0)</f>
        <v/>
      </c>
      <c r="H32">
        <f>SI(INDEX($B$3:$K$12;5;7)="Séparer";1;0)</f>
        <v/>
      </c>
      <c r="I32">
        <f>SI(INDEX($B$3:$K$12;5;8)="Séparer";1;0)</f>
        <v/>
      </c>
      <c r="J32">
        <f>SI(INDEX($B$3:$K$12;5;9)="Séparer";1;0)</f>
        <v/>
      </c>
      <c r="K32">
        <f>SI(INDEX($B$3:$K$12;5;10)="Séparer";1;0)</f>
        <v/>
      </c>
    </row>
    <row r="33">
      <c r="A33" s="6" t="inlineStr">
        <is>
          <t>Reducteur</t>
        </is>
      </c>
      <c r="B33">
        <f>SI(INDEX($B$3:$K$12;6;1)="Séparer";1;0)</f>
        <v/>
      </c>
      <c r="C33">
        <f>SI(INDEX($B$3:$K$12;6;2)="Séparer";1;0)</f>
        <v/>
      </c>
      <c r="D33">
        <f>SI(INDEX($B$3:$K$12;6;3)="Séparer";1;0)</f>
        <v/>
      </c>
      <c r="E33">
        <f>SI(INDEX($B$3:$K$12;6;4)="Séparer";1;0)</f>
        <v/>
      </c>
      <c r="F33">
        <f>SI(INDEX($B$3:$K$12;6;5)="Séparer";1;0)</f>
        <v/>
      </c>
      <c r="G33">
        <f>SI(INDEX($B$3:$K$12;6;6)="Séparer";1;0)</f>
        <v/>
      </c>
      <c r="H33">
        <f>SI(INDEX($B$3:$K$12;6;7)="Séparer";1;0)</f>
        <v/>
      </c>
      <c r="I33">
        <f>SI(INDEX($B$3:$K$12;6;8)="Séparer";1;0)</f>
        <v/>
      </c>
      <c r="J33">
        <f>SI(INDEX($B$3:$K$12;6;9)="Séparer";1;0)</f>
        <v/>
      </c>
      <c r="K33">
        <f>SI(INDEX($B$3:$K$12;6;10)="Séparer";1;0)</f>
        <v/>
      </c>
    </row>
    <row r="34">
      <c r="A34" s="6" t="inlineStr">
        <is>
          <t>Eau-reactif</t>
        </is>
      </c>
      <c r="B34">
        <f>SI(INDEX($B$3:$K$12;7;1)="Séparer";1;0)</f>
        <v/>
      </c>
      <c r="C34">
        <f>SI(INDEX($B$3:$K$12;7;2)="Séparer";1;0)</f>
        <v/>
      </c>
      <c r="D34">
        <f>SI(INDEX($B$3:$K$12;7;3)="Séparer";1;0)</f>
        <v/>
      </c>
      <c r="E34">
        <f>SI(INDEX($B$3:$K$12;7;4)="Séparer";1;0)</f>
        <v/>
      </c>
      <c r="F34">
        <f>SI(INDEX($B$3:$K$12;7;5)="Séparer";1;0)</f>
        <v/>
      </c>
      <c r="G34">
        <f>SI(INDEX($B$3:$K$12;7;6)="Séparer";1;0)</f>
        <v/>
      </c>
      <c r="H34">
        <f>SI(INDEX($B$3:$K$12;7;7)="Séparer";1;0)</f>
        <v/>
      </c>
      <c r="I34">
        <f>SI(INDEX($B$3:$K$12;7;8)="Séparer";1;0)</f>
        <v/>
      </c>
      <c r="J34">
        <f>SI(INDEX($B$3:$K$12;7;9)="Séparer";1;0)</f>
        <v/>
      </c>
      <c r="K34">
        <f>SI(INDEX($B$3:$K$12;7;10)="Séparer";1;0)</f>
        <v/>
      </c>
    </row>
    <row r="35">
      <c r="A35" s="6" t="inlineStr">
        <is>
          <t>Gaz sous pression</t>
        </is>
      </c>
      <c r="B35">
        <f>SI(INDEX($B$3:$K$12;8;1)="Séparer";1;0)</f>
        <v/>
      </c>
      <c r="C35">
        <f>SI(INDEX($B$3:$K$12;8;2)="Séparer";1;0)</f>
        <v/>
      </c>
      <c r="D35">
        <f>SI(INDEX($B$3:$K$12;8;3)="Séparer";1;0)</f>
        <v/>
      </c>
      <c r="E35">
        <f>SI(INDEX($B$3:$K$12;8;4)="Séparer";1;0)</f>
        <v/>
      </c>
      <c r="F35">
        <f>SI(INDEX($B$3:$K$12;8;5)="Séparer";1;0)</f>
        <v/>
      </c>
      <c r="G35">
        <f>SI(INDEX($B$3:$K$12;8;6)="Séparer";1;0)</f>
        <v/>
      </c>
      <c r="H35">
        <f>SI(INDEX($B$3:$K$12;8;7)="Séparer";1;0)</f>
        <v/>
      </c>
      <c r="I35">
        <f>SI(INDEX($B$3:$K$12;8;8)="Séparer";1;0)</f>
        <v/>
      </c>
      <c r="J35">
        <f>SI(INDEX($B$3:$K$12;8;9)="Séparer";1;0)</f>
        <v/>
      </c>
      <c r="K35">
        <f>SI(INDEX($B$3:$K$12;8;10)="Séparer";1;0)</f>
        <v/>
      </c>
    </row>
    <row r="36">
      <c r="A36" s="6" t="inlineStr">
        <is>
          <t>Combustible</t>
        </is>
      </c>
      <c r="B36">
        <f>SI(INDEX($B$3:$K$12;9;1)="Séparer";1;0)</f>
        <v/>
      </c>
      <c r="C36">
        <f>SI(INDEX($B$3:$K$12;9;2)="Séparer";1;0)</f>
        <v/>
      </c>
      <c r="D36">
        <f>SI(INDEX($B$3:$K$12;9;3)="Séparer";1;0)</f>
        <v/>
      </c>
      <c r="E36">
        <f>SI(INDEX($B$3:$K$12;9;4)="Séparer";1;0)</f>
        <v/>
      </c>
      <c r="F36">
        <f>SI(INDEX($B$3:$K$12;9;5)="Séparer";1;0)</f>
        <v/>
      </c>
      <c r="G36">
        <f>SI(INDEX($B$3:$K$12;9;6)="Séparer";1;0)</f>
        <v/>
      </c>
      <c r="H36">
        <f>SI(INDEX($B$3:$K$12;9;7)="Séparer";1;0)</f>
        <v/>
      </c>
      <c r="I36">
        <f>SI(INDEX($B$3:$K$12;9;8)="Séparer";1;0)</f>
        <v/>
      </c>
      <c r="J36">
        <f>SI(INDEX($B$3:$K$12;9;9)="Séparer";1;0)</f>
        <v/>
      </c>
      <c r="K36">
        <f>SI(INDEX($B$3:$K$12;9;10)="Séparer";1;0)</f>
        <v/>
      </c>
    </row>
    <row r="37">
      <c r="A37" s="6" t="inlineStr">
        <is>
          <t>Autre</t>
        </is>
      </c>
      <c r="B37">
        <f>SI(INDEX($B$3:$K$12;10;1)="Séparer";1;0)</f>
        <v/>
      </c>
      <c r="C37">
        <f>SI(INDEX($B$3:$K$12;10;2)="Séparer";1;0)</f>
        <v/>
      </c>
      <c r="D37">
        <f>SI(INDEX($B$3:$K$12;10;3)="Séparer";1;0)</f>
        <v/>
      </c>
      <c r="E37">
        <f>SI(INDEX($B$3:$K$12;10;4)="Séparer";1;0)</f>
        <v/>
      </c>
      <c r="F37">
        <f>SI(INDEX($B$3:$K$12;10;5)="Séparer";1;0)</f>
        <v/>
      </c>
      <c r="G37">
        <f>SI(INDEX($B$3:$K$12;10;6)="Séparer";1;0)</f>
        <v/>
      </c>
      <c r="H37">
        <f>SI(INDEX($B$3:$K$12;10;7)="Séparer";1;0)</f>
        <v/>
      </c>
      <c r="I37">
        <f>SI(INDEX($B$3:$K$12;10;8)="Séparer";1;0)</f>
        <v/>
      </c>
      <c r="J37">
        <f>SI(INDEX($B$3:$K$12;10;9)="Séparer";1;0)</f>
        <v/>
      </c>
      <c r="K37">
        <f>SI(INDEX($B$3:$K$12;10;10)="Séparer";1;0)</f>
        <v/>
      </c>
    </row>
  </sheetData>
  <mergeCells count="1">
    <mergeCell ref="A1:N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R10"/>
  <sheetViews>
    <sheetView workbookViewId="0">
      <selection activeCell="A1" sqref="A1"/>
    </sheetView>
  </sheetViews>
  <sheetFormatPr baseColWidth="8" defaultRowHeight="15"/>
  <cols>
    <col width="12" customWidth="1" min="1" max="1"/>
    <col width="18" customWidth="1" min="2" max="2"/>
    <col width="30" customWidth="1" min="3" max="3"/>
    <col width="22" customWidth="1" min="4" max="4"/>
    <col width="28" customWidth="1" min="5" max="5"/>
    <col width="18" customWidth="1" min="6" max="6"/>
    <col width="12" customWidth="1" min="7" max="7"/>
    <col width="16" customWidth="1" min="8" max="8"/>
  </cols>
  <sheetData>
    <row r="1" ht="28" customHeight="1">
      <c r="A1" s="7" t="inlineStr">
        <is>
          <t>Rétention par bac — Dimensionnement &amp; conformité</t>
        </is>
      </c>
    </row>
    <row r="2">
      <c r="A2" s="8" t="inlineStr">
        <is>
          <t>Bac_ID</t>
        </is>
      </c>
      <c r="B2" s="8" t="inlineStr">
        <is>
          <t>Zone</t>
        </is>
      </c>
      <c r="C2" s="8" t="inlineStr">
        <is>
          <t>Règle rétention</t>
        </is>
      </c>
      <c r="D2" s="8" t="inlineStr">
        <is>
          <t>Rétention utile (L)</t>
        </is>
      </c>
      <c r="E2" s="8" t="inlineStr">
        <is>
          <t>Volume total (L) depuis inventaire</t>
        </is>
      </c>
      <c r="F2" s="8" t="inlineStr">
        <is>
          <t>Exigence (L)</t>
        </is>
      </c>
      <c r="G2" s="8" t="inlineStr">
        <is>
          <t>Ratio (%)</t>
        </is>
      </c>
      <c r="H2" s="8" t="inlineStr">
        <is>
          <t>Conformité</t>
        </is>
      </c>
      <c r="I2" s="8" t="n"/>
      <c r="J2" s="8" t="n"/>
      <c r="K2" s="8" t="n"/>
      <c r="L2" s="8" t="n"/>
      <c r="M2" s="8" t="n"/>
      <c r="N2" s="8" t="n"/>
      <c r="O2" s="8" t="n"/>
      <c r="P2" s="8" t="n"/>
      <c r="Q2" s="8" t="n"/>
      <c r="R2" s="8" t="n"/>
    </row>
    <row r="3">
      <c r="A3" t="inlineStr">
        <is>
          <t>BAC-01</t>
        </is>
      </c>
      <c r="B3" t="inlineStr">
        <is>
          <t>Magasin chimie</t>
        </is>
      </c>
      <c r="C3" t="inlineStr">
        <is>
          <t>100% plus grand conteneur</t>
        </is>
      </c>
      <c r="D3" t="n">
        <v>220</v>
      </c>
      <c r="E3">
        <f>SOMME.SI(Inventaire_Chimiques!$K:$K; A3; Inventaire_Chimiques!$I:$I)</f>
        <v/>
      </c>
      <c r="F3">
        <f>SI(C3="100% plus grand conteneur"; AGREGAT(14;6;(Inventaire_Chimiques!$G:$G)/(Inventaire_Chimiques!$K:$K=A3);1); SI(C3="50% du volume total (règle interne)"; 0,5*E3; ""))</f>
        <v/>
      </c>
      <c r="G3">
        <f>SIERREUR(ARRONDI(100*D3/F3;1);"")</f>
        <v/>
      </c>
      <c r="H3">
        <f>SI(G3="";"";SI(G3&gt;=Parametres!B3;"OK";"À renforcer"))</f>
        <v/>
      </c>
    </row>
    <row r="4">
      <c r="A4" t="inlineStr">
        <is>
          <t>BAC-02</t>
        </is>
      </c>
      <c r="B4" t="inlineStr">
        <is>
          <t>Atelier A</t>
        </is>
      </c>
      <c r="C4" t="inlineStr">
        <is>
          <t>50% du volume total (règle interne)</t>
        </is>
      </c>
      <c r="D4" t="n">
        <v>220</v>
      </c>
      <c r="E4">
        <f>SOMME.SI(Inventaire_Chimiques!$K:$K; A4; Inventaire_Chimiques!$I:$I)</f>
        <v/>
      </c>
      <c r="F4">
        <f>SI(C4="100% plus grand conteneur"; AGREGAT(14;6;(Inventaire_Chimiques!$G:$G)/(Inventaire_Chimiques!$K:$K=A4);1); SI(C4="50% du volume total (règle interne)"; 0,5*E4; ""))</f>
        <v/>
      </c>
      <c r="G4">
        <f>SIERREUR(ARRONDI(100*D4/F4;1);"")</f>
        <v/>
      </c>
      <c r="H4">
        <f>SI(G4="";"";SI(G4&gt;=Parametres!B3;"OK";"À renforcer"))</f>
        <v/>
      </c>
    </row>
    <row r="5">
      <c r="A5" t="inlineStr">
        <is>
          <t>BAC-03</t>
        </is>
      </c>
      <c r="B5" t="inlineStr">
        <is>
          <t>Extérieur</t>
        </is>
      </c>
      <c r="C5" t="inlineStr">
        <is>
          <t>100% plus grand conteneur</t>
        </is>
      </c>
      <c r="D5" t="n">
        <v>220</v>
      </c>
      <c r="E5">
        <f>SOMME.SI(Inventaire_Chimiques!$K:$K; A5; Inventaire_Chimiques!$I:$I)</f>
        <v/>
      </c>
      <c r="F5">
        <f>SI(C5="100% plus grand conteneur"; AGREGAT(14;6;(Inventaire_Chimiques!$G:$G)/(Inventaire_Chimiques!$K:$K=A5);1); SI(C5="50% du volume total (règle interne)"; 0,5*E5; ""))</f>
        <v/>
      </c>
      <c r="G5">
        <f>SIERREUR(ARRONDI(100*D5/F5;1);"")</f>
        <v/>
      </c>
      <c r="H5">
        <f>SI(G5="";"";SI(G5&gt;=Parametres!B3;"OK";"À renforcer"))</f>
        <v/>
      </c>
    </row>
    <row r="6">
      <c r="A6" t="inlineStr">
        <is>
          <t>BAC-04</t>
        </is>
      </c>
      <c r="B6" t="inlineStr">
        <is>
          <t>Magasin chimie</t>
        </is>
      </c>
      <c r="C6" t="inlineStr">
        <is>
          <t>100% plus grand conteneur</t>
        </is>
      </c>
      <c r="D6" t="n">
        <v>110</v>
      </c>
      <c r="E6">
        <f>SOMME.SI(Inventaire_Chimiques!$K:$K; A6; Inventaire_Chimiques!$I:$I)</f>
        <v/>
      </c>
      <c r="F6">
        <f>SI(C6="100% plus grand conteneur"; AGREGAT(14;6;(Inventaire_Chimiques!$G:$G)/(Inventaire_Chimiques!$K:$K=A6);1); SI(C6="50% du volume total (règle interne)"; 0,5*E6; ""))</f>
        <v/>
      </c>
      <c r="G6">
        <f>SIERREUR(ARRONDI(100*D6/F6;1);"")</f>
        <v/>
      </c>
      <c r="H6">
        <f>SI(G6="";"";SI(G6&gt;=Parametres!B3;"OK";"À renforcer"))</f>
        <v/>
      </c>
    </row>
    <row r="7">
      <c r="A7" t="inlineStr">
        <is>
          <t>BAC-05</t>
        </is>
      </c>
      <c r="B7" t="inlineStr">
        <is>
          <t>Local doseur</t>
        </is>
      </c>
      <c r="C7" t="inlineStr">
        <is>
          <t>50% du volume total (règle interne)</t>
        </is>
      </c>
      <c r="D7" t="n">
        <v>110</v>
      </c>
      <c r="E7">
        <f>SOMME.SI(Inventaire_Chimiques!$K:$K; A7; Inventaire_Chimiques!$I:$I)</f>
        <v/>
      </c>
      <c r="F7">
        <f>SI(C7="100% plus grand conteneur"; AGREGAT(14;6;(Inventaire_Chimiques!$G:$G)/(Inventaire_Chimiques!$K:$K=A7);1); SI(C7="50% du volume total (règle interne)"; 0,5*E7; ""))</f>
        <v/>
      </c>
      <c r="G7">
        <f>SIERREUR(ARRONDI(100*D7/F7;1);"")</f>
        <v/>
      </c>
      <c r="H7">
        <f>SI(G7="";"";SI(G7&gt;=Parametres!B3;"OK";"À renforcer"))</f>
        <v/>
      </c>
    </row>
    <row r="8">
      <c r="A8" t="inlineStr">
        <is>
          <t>BAC-06</t>
        </is>
      </c>
      <c r="B8" t="inlineStr">
        <is>
          <t>Atelier B</t>
        </is>
      </c>
      <c r="C8" t="inlineStr">
        <is>
          <t>100% plus grand conteneur</t>
        </is>
      </c>
      <c r="D8" t="n">
        <v>220</v>
      </c>
      <c r="E8">
        <f>SOMME.SI(Inventaire_Chimiques!$K:$K; A8; Inventaire_Chimiques!$I:$I)</f>
        <v/>
      </c>
      <c r="F8">
        <f>SI(C8="100% plus grand conteneur"; AGREGAT(14;6;(Inventaire_Chimiques!$G:$G)/(Inventaire_Chimiques!$K:$K=A8);1); SI(C8="50% du volume total (règle interne)"; 0,5*E8; ""))</f>
        <v/>
      </c>
      <c r="G8">
        <f>SIERREUR(ARRONDI(100*D8/F8;1);"")</f>
        <v/>
      </c>
      <c r="H8">
        <f>SI(G8="";"";SI(G8&gt;=Parametres!B3;"OK";"À renforcer"))</f>
        <v/>
      </c>
    </row>
    <row r="9">
      <c r="A9" t="inlineStr">
        <is>
          <t>BAC-07</t>
        </is>
      </c>
      <c r="B9" t="inlineStr">
        <is>
          <t>Zone 2</t>
        </is>
      </c>
      <c r="C9" t="inlineStr">
        <is>
          <t>50% du volume total (règle interne)</t>
        </is>
      </c>
      <c r="D9" t="n">
        <v>220</v>
      </c>
      <c r="E9">
        <f>SOMME.SI(Inventaire_Chimiques!$K:$K; A9; Inventaire_Chimiques!$I:$I)</f>
        <v/>
      </c>
      <c r="F9">
        <f>SI(C9="100% plus grand conteneur"; AGREGAT(14;6;(Inventaire_Chimiques!$G:$G)/(Inventaire_Chimiques!$K:$K=A9);1); SI(C9="50% du volume total (règle interne)"; 0,5*E9; ""))</f>
        <v/>
      </c>
      <c r="G9">
        <f>SIERREUR(ARRONDI(100*D9/F9;1);"")</f>
        <v/>
      </c>
      <c r="H9">
        <f>SI(G9="";"";SI(G9&gt;=Parametres!B3;"OK";"À renforcer"))</f>
        <v/>
      </c>
    </row>
    <row r="10">
      <c r="A10" t="inlineStr">
        <is>
          <t>BAC-08</t>
        </is>
      </c>
      <c r="B10" t="inlineStr">
        <is>
          <t>Zone 3</t>
        </is>
      </c>
      <c r="C10" t="inlineStr">
        <is>
          <t>50% du volume total (règle interne)</t>
        </is>
      </c>
      <c r="D10" t="n">
        <v>220</v>
      </c>
      <c r="E10">
        <f>SOMME.SI(Inventaire_Chimiques!$K:$K; A10; Inventaire_Chimiques!$I:$I)</f>
        <v/>
      </c>
      <c r="F10">
        <f>SI(C10="100% plus grand conteneur"; AGREGAT(14;6;(Inventaire_Chimiques!$G:$G)/(Inventaire_Chimiques!$K:$K=A10);1); SI(C10="50% du volume total (règle interne)"; 0,5*E10; ""))</f>
        <v/>
      </c>
      <c r="G10">
        <f>SIERREUR(ARRONDI(100*D10/F10;1);"")</f>
        <v/>
      </c>
      <c r="H10">
        <f>SI(G10="";"";SI(G10&gt;=Parametres!B3;"OK";"À renforcer"))</f>
        <v/>
      </c>
    </row>
  </sheetData>
  <mergeCells count="1">
    <mergeCell ref="A1:R1"/>
  </mergeCells>
  <pageMargins left="0.75" right="0.75" top="1" bottom="1" header="0.5" footer="0.5"/>
  <tableParts count="1">
    <tablePart xmlns:r="http://schemas.openxmlformats.org/officeDocument/2006/relationships" r:id="rId1"/>
  </tableParts>
</worksheet>
</file>

<file path=xl/worksheets/sheet5.xml><?xml version="1.0" encoding="utf-8"?>
<worksheet xmlns="http://schemas.openxmlformats.org/spreadsheetml/2006/main">
  <sheetPr>
    <outlinePr summaryBelow="1" summaryRight="1"/>
    <pageSetUpPr/>
  </sheetPr>
  <dimension ref="A1:Z24"/>
  <sheetViews>
    <sheetView workbookViewId="0">
      <selection activeCell="A1" sqref="A1"/>
    </sheetView>
  </sheetViews>
  <sheetFormatPr baseColWidth="8" defaultRowHeight="15"/>
  <cols>
    <col width="26" customWidth="1" min="1" max="1"/>
    <col width="20" customWidth="1" min="2" max="2"/>
    <col width="14" customWidth="1" min="3" max="3"/>
    <col width="10" customWidth="1" min="4" max="4"/>
    <col width="16" customWidth="1" min="5" max="5"/>
    <col width="22" customWidth="1" min="6" max="6"/>
    <col width="16" customWidth="1" min="7" max="7"/>
    <col width="14" customWidth="1" min="8" max="8"/>
    <col width="18" customWidth="1" min="9" max="9"/>
    <col width="18" customWidth="1" min="10" max="10"/>
    <col width="14" customWidth="1" min="11" max="11"/>
    <col width="18" customWidth="1" min="12" max="12"/>
    <col width="28" customWidth="1" min="13" max="13"/>
    <col width="22" customWidth="1" min="14" max="14"/>
    <col width="24" customWidth="1" min="15" max="15"/>
    <col width="18" customWidth="1" min="16" max="16"/>
    <col width="18" customWidth="1" min="17" max="17"/>
    <col width="14" customWidth="1" min="18" max="18"/>
    <col width="12" customWidth="1" min="19" max="19"/>
    <col width="28" customWidth="1" min="20" max="20"/>
    <col width="24" customWidth="1" min="21" max="21"/>
    <col width="20" customWidth="1" min="22" max="22"/>
    <col width="18" customWidth="1" min="23" max="23"/>
    <col width="18" customWidth="1" min="24" max="24"/>
    <col width="26" customWidth="1" min="25" max="25"/>
  </cols>
  <sheetData>
    <row r="1" ht="28" customHeight="1">
      <c r="A1" s="9" t="inlineStr">
        <is>
          <t>Inventaire — Stockage produits chimiques (compatibilité; rétention; FDS)</t>
        </is>
      </c>
    </row>
    <row r="2">
      <c r="A2" s="10" t="inlineStr">
        <is>
          <t>Produit</t>
        </is>
      </c>
      <c r="B2" s="10" t="inlineStr">
        <is>
          <t>Fournisseur/Réf</t>
        </is>
      </c>
      <c r="C2" s="10" t="inlineStr">
        <is>
          <t>CAS</t>
        </is>
      </c>
      <c r="D2" s="10" t="inlineStr">
        <is>
          <t>UN</t>
        </is>
      </c>
      <c r="E2" s="10" t="inlineStr">
        <is>
          <t>Groupe (compat.)</t>
        </is>
      </c>
      <c r="F2" s="10" t="inlineStr">
        <is>
          <t>Classe GHS principale</t>
        </is>
      </c>
      <c r="G2" s="10" t="inlineStr">
        <is>
          <t>Volume unitaire (L)</t>
        </is>
      </c>
      <c r="H2" s="10" t="inlineStr">
        <is>
          <t>Nb contenants</t>
        </is>
      </c>
      <c r="I2" s="10" t="inlineStr">
        <is>
          <t>Volume total (L)</t>
        </is>
      </c>
      <c r="J2" s="10" t="inlineStr">
        <is>
          <t>Zone</t>
        </is>
      </c>
      <c r="K2" s="10" t="inlineStr">
        <is>
          <t>Bac_ID</t>
        </is>
      </c>
      <c r="L2" s="10" t="inlineStr">
        <is>
          <t>Type conteneur</t>
        </is>
      </c>
      <c r="M2" s="10" t="inlineStr">
        <is>
          <t>Règle rétention (bac)</t>
        </is>
      </c>
      <c r="N2" s="10" t="inlineStr">
        <is>
          <t>Rétention utile bac (L)</t>
        </is>
      </c>
      <c r="O2" s="10" t="inlineStr">
        <is>
          <t>Exigence rétention (L)</t>
        </is>
      </c>
      <c r="P2" s="10" t="inlineStr">
        <is>
          <t>Ratio rétention (%)</t>
        </is>
      </c>
      <c r="Q2" s="10" t="inlineStr">
        <is>
          <t>Statut compat. bac</t>
        </is>
      </c>
      <c r="R2" s="10" t="inlineStr">
        <is>
          <t>Statut FDS</t>
        </is>
      </c>
      <c r="S2" s="10" t="inlineStr">
        <is>
          <t>Date FDS</t>
        </is>
      </c>
      <c r="T2" s="10" t="inlineStr">
        <is>
          <t>Rappel (Parametres!Rappel_FDS_Mois)</t>
        </is>
      </c>
      <c r="U2" s="10" t="inlineStr">
        <is>
          <t>Lien FDS</t>
        </is>
      </c>
      <c r="V2" s="10" t="inlineStr">
        <is>
          <t>EPI requis</t>
        </is>
      </c>
      <c r="W2" s="10" t="inlineStr">
        <is>
          <t>Température stockage</t>
        </is>
      </c>
      <c r="X2" s="10" t="inlineStr">
        <is>
          <t>Ventilation (Oui/Non)</t>
        </is>
      </c>
      <c r="Y2" s="10" t="inlineStr">
        <is>
          <t>Remarques</t>
        </is>
      </c>
      <c r="Z2" s="10" t="n"/>
    </row>
    <row r="3">
      <c r="A3" t="inlineStr">
        <is>
          <t>Acétone</t>
        </is>
      </c>
      <c r="B3" t="inlineStr">
        <is>
          <t>Fourn A</t>
        </is>
      </c>
      <c r="C3" t="inlineStr">
        <is>
          <t>67-64-1</t>
        </is>
      </c>
      <c r="D3" t="inlineStr">
        <is>
          <t>1090</t>
        </is>
      </c>
      <c r="E3" t="inlineStr">
        <is>
          <t>Inflammable</t>
        </is>
      </c>
      <c r="F3" t="inlineStr">
        <is>
          <t>Flamme</t>
        </is>
      </c>
      <c r="G3" t="n">
        <v>20</v>
      </c>
      <c r="H3" t="n">
        <v>6</v>
      </c>
      <c r="I3">
        <f>G3*H3</f>
        <v/>
      </c>
      <c r="J3" t="inlineStr">
        <is>
          <t>Magasin chimie</t>
        </is>
      </c>
      <c r="K3" t="inlineStr">
        <is>
          <t>BAC-01</t>
        </is>
      </c>
      <c r="L3" t="inlineStr">
        <is>
          <t>Bidon 20L</t>
        </is>
      </c>
      <c r="M3" t="inlineStr">
        <is>
          <t>100% plus grand conteneur</t>
        </is>
      </c>
      <c r="N3" t="n">
        <v>220</v>
      </c>
      <c r="O3">
        <f>SI(M3="100% plus grand conteneur";AGREGAT(14;6;($G$3:$G$1000)/($K$3:$K$1000=K3);1); SI(M3="50% du volume total (règle interne)"; 0,5*SOMME.SI($K$3:$K$1000;K3;$I$3:$I$1000); ""))</f>
        <v/>
      </c>
      <c r="P3">
        <f>SIERREUR(ARRONDI(100*N3/O3;1);"")</f>
        <v/>
      </c>
      <c r="Q3">
        <f>SIERREUR(RECHERCHEV(K3;Audit_Compat!A:F;6;FAUX);"")</f>
        <v/>
      </c>
      <c r="R3" t="inlineStr">
        <is>
          <t>Disponible</t>
        </is>
      </c>
      <c r="S3" s="11" t="n">
        <v>45888</v>
      </c>
      <c r="T3">
        <f>SI(S3&lt;&gt;"";MOIS.DECALER(S3;Parametres!B2);"")</f>
        <v/>
      </c>
      <c r="U3" t="inlineStr"/>
      <c r="V3" t="inlineStr">
        <is>
          <t>Gants nitrile; lunettes</t>
        </is>
      </c>
      <c r="W3" t="inlineStr">
        <is>
          <t>Ambiante</t>
        </is>
      </c>
      <c r="X3" t="inlineStr">
        <is>
          <t>Oui</t>
        </is>
      </c>
      <c r="Y3" t="inlineStr">
        <is>
          <t>Solvant nettoyage</t>
        </is>
      </c>
    </row>
    <row r="4">
      <c r="A4" t="inlineStr">
        <is>
          <t>Éthanol 96%</t>
        </is>
      </c>
      <c r="B4" t="inlineStr">
        <is>
          <t>Fourn A</t>
        </is>
      </c>
      <c r="C4" t="inlineStr">
        <is>
          <t>64-17-5</t>
        </is>
      </c>
      <c r="D4" t="inlineStr">
        <is>
          <t>1170</t>
        </is>
      </c>
      <c r="E4" t="inlineStr">
        <is>
          <t>Inflammable</t>
        </is>
      </c>
      <c r="F4" t="inlineStr">
        <is>
          <t>Flamme</t>
        </is>
      </c>
      <c r="G4" t="n">
        <v>20</v>
      </c>
      <c r="H4" t="n">
        <v>4</v>
      </c>
      <c r="I4">
        <f>G4*H4</f>
        <v/>
      </c>
      <c r="J4" t="inlineStr">
        <is>
          <t>Magasin chimie</t>
        </is>
      </c>
      <c r="K4" t="inlineStr">
        <is>
          <t>BAC-04</t>
        </is>
      </c>
      <c r="L4" t="inlineStr">
        <is>
          <t>Bidon 20L</t>
        </is>
      </c>
      <c r="M4" t="inlineStr">
        <is>
          <t>100% plus grand conteneur</t>
        </is>
      </c>
      <c r="N4" t="n">
        <v>110</v>
      </c>
      <c r="O4">
        <f>SI(M4="100% plus grand conteneur";AGREGAT(14;6;($G$3:$G$1000)/($K$3:$K$1000=K4);1); SI(M4="50% du volume total (règle interne)"; 0,5*SOMME.SI($K$3:$K$1000;K4;$I$3:$I$1000); ""))</f>
        <v/>
      </c>
      <c r="P4">
        <f>SIERREUR(ARRONDI(100*N4/O4;1);"")</f>
        <v/>
      </c>
      <c r="Q4">
        <f>SIERREUR(RECHERCHEV(K4;Audit_Compat!A:F;6;FAUX);"")</f>
        <v/>
      </c>
      <c r="R4" t="inlineStr">
        <is>
          <t>Disponible</t>
        </is>
      </c>
      <c r="S4" s="11" t="n">
        <v>45288</v>
      </c>
      <c r="T4">
        <f>SI(S4&lt;&gt;"";MOIS.DECALER(S4;Parametres!B2);"")</f>
        <v/>
      </c>
      <c r="U4" t="inlineStr"/>
      <c r="V4" t="inlineStr">
        <is>
          <t>Gants nitrile; lunettes</t>
        </is>
      </c>
      <c r="W4" t="inlineStr">
        <is>
          <t>Ambiante</t>
        </is>
      </c>
      <c r="X4" t="inlineStr">
        <is>
          <t>Oui</t>
        </is>
      </c>
      <c r="Y4" t="inlineStr">
        <is>
          <t>Production</t>
        </is>
      </c>
    </row>
    <row r="5">
      <c r="A5" t="inlineStr">
        <is>
          <t>Isopropanol</t>
        </is>
      </c>
      <c r="B5" t="inlineStr">
        <is>
          <t>Fourn A</t>
        </is>
      </c>
      <c r="C5" t="inlineStr">
        <is>
          <t>67-63-0</t>
        </is>
      </c>
      <c r="D5" t="inlineStr">
        <is>
          <t>1219</t>
        </is>
      </c>
      <c r="E5" t="inlineStr">
        <is>
          <t>Inflammable</t>
        </is>
      </c>
      <c r="F5" t="inlineStr">
        <is>
          <t>Flamme</t>
        </is>
      </c>
      <c r="G5" t="n">
        <v>20</v>
      </c>
      <c r="H5" t="n">
        <v>3</v>
      </c>
      <c r="I5">
        <f>G5*H5</f>
        <v/>
      </c>
      <c r="J5" t="inlineStr">
        <is>
          <t>Atelier B</t>
        </is>
      </c>
      <c r="K5" t="inlineStr">
        <is>
          <t>BAC-06</t>
        </is>
      </c>
      <c r="L5" t="inlineStr">
        <is>
          <t>Bidon 20L</t>
        </is>
      </c>
      <c r="M5" t="inlineStr">
        <is>
          <t>100% plus grand conteneur</t>
        </is>
      </c>
      <c r="N5" t="n">
        <v>220</v>
      </c>
      <c r="O5">
        <f>SI(M5="100% plus grand conteneur";AGREGAT(14;6;($G$3:$G$1000)/($K$3:$K$1000=K5);1); SI(M5="50% du volume total (règle interne)"; 0,5*SOMME.SI($K$3:$K$1000;K5;$I$3:$I$1000); ""))</f>
        <v/>
      </c>
      <c r="P5">
        <f>SIERREUR(ARRONDI(100*N5/O5;1);"")</f>
        <v/>
      </c>
      <c r="Q5">
        <f>SIERREUR(RECHERCHEV(K5;Audit_Compat!A:F;6;FAUX);"")</f>
        <v/>
      </c>
      <c r="R5" t="inlineStr">
        <is>
          <t>Disponible</t>
        </is>
      </c>
      <c r="S5" s="11" t="n">
        <v>45688</v>
      </c>
      <c r="T5">
        <f>SI(S5&lt;&gt;"";MOIS.DECALER(S5;Parametres!B2);"")</f>
        <v/>
      </c>
      <c r="U5" t="inlineStr"/>
      <c r="V5" t="inlineStr">
        <is>
          <t>Gants nitrile; lunettes</t>
        </is>
      </c>
      <c r="W5" t="inlineStr">
        <is>
          <t>Ambiante</t>
        </is>
      </c>
      <c r="X5" t="inlineStr">
        <is>
          <t>Oui</t>
        </is>
      </c>
      <c r="Y5" t="inlineStr"/>
    </row>
    <row r="6">
      <c r="A6" t="inlineStr">
        <is>
          <t>MEK (Butanone)</t>
        </is>
      </c>
      <c r="B6" t="inlineStr">
        <is>
          <t>Fourn A</t>
        </is>
      </c>
      <c r="C6" t="inlineStr">
        <is>
          <t>78-93-3</t>
        </is>
      </c>
      <c r="D6" t="inlineStr">
        <is>
          <t>1193</t>
        </is>
      </c>
      <c r="E6" t="inlineStr">
        <is>
          <t>Inflammable</t>
        </is>
      </c>
      <c r="F6" t="inlineStr">
        <is>
          <t>Flamme</t>
        </is>
      </c>
      <c r="G6" t="n">
        <v>20</v>
      </c>
      <c r="H6" t="n">
        <v>2</v>
      </c>
      <c r="I6">
        <f>G6*H6</f>
        <v/>
      </c>
      <c r="J6" t="inlineStr">
        <is>
          <t>Atelier A</t>
        </is>
      </c>
      <c r="K6" t="inlineStr">
        <is>
          <t>BAC-02</t>
        </is>
      </c>
      <c r="L6" t="inlineStr">
        <is>
          <t>Bidon 20L</t>
        </is>
      </c>
      <c r="M6" t="inlineStr">
        <is>
          <t>50% du volume total (règle interne)</t>
        </is>
      </c>
      <c r="N6" t="n">
        <v>220</v>
      </c>
      <c r="O6">
        <f>SI(M6="100% plus grand conteneur";AGREGAT(14;6;($G$3:$G$1000)/($K$3:$K$1000=K6);1); SI(M6="50% du volume total (règle interne)"; 0,5*SOMME.SI($K$3:$K$1000;K6;$I$3:$I$1000); ""))</f>
        <v/>
      </c>
      <c r="P6">
        <f>SIERREUR(ARRONDI(100*N6/O6;1);"")</f>
        <v/>
      </c>
      <c r="Q6">
        <f>SIERREUR(RECHERCHEV(K6;Audit_Compat!A:F;6;FAUX);"")</f>
        <v/>
      </c>
      <c r="R6" t="inlineStr">
        <is>
          <t>Disponible</t>
        </is>
      </c>
      <c r="S6" s="11" t="n">
        <v>44988</v>
      </c>
      <c r="T6">
        <f>SI(S6&lt;&gt;"";MOIS.DECALER(S6;Parametres!B2);"")</f>
        <v/>
      </c>
      <c r="U6" t="inlineStr"/>
      <c r="V6" t="inlineStr">
        <is>
          <t>Gants nitrile; lunettes</t>
        </is>
      </c>
      <c r="W6" t="inlineStr">
        <is>
          <t>Ambiante</t>
        </is>
      </c>
      <c r="X6" t="inlineStr">
        <is>
          <t>Oui</t>
        </is>
      </c>
      <c r="Y6" t="inlineStr"/>
    </row>
    <row r="7">
      <c r="A7" t="inlineStr">
        <is>
          <t>Toluène</t>
        </is>
      </c>
      <c r="B7" t="inlineStr">
        <is>
          <t>Fourn A</t>
        </is>
      </c>
      <c r="C7" t="inlineStr">
        <is>
          <t>108-88-3</t>
        </is>
      </c>
      <c r="D7" t="inlineStr">
        <is>
          <t>1294</t>
        </is>
      </c>
      <c r="E7" t="inlineStr">
        <is>
          <t>Inflammable</t>
        </is>
      </c>
      <c r="F7" t="inlineStr">
        <is>
          <t>Flamme</t>
        </is>
      </c>
      <c r="G7" t="n">
        <v>20</v>
      </c>
      <c r="H7" t="n">
        <v>1</v>
      </c>
      <c r="I7">
        <f>G7*H7</f>
        <v/>
      </c>
      <c r="J7" t="inlineStr">
        <is>
          <t>Zone 2</t>
        </is>
      </c>
      <c r="K7" t="inlineStr">
        <is>
          <t>BAC-07</t>
        </is>
      </c>
      <c r="L7" t="inlineStr">
        <is>
          <t>Bidon 20L</t>
        </is>
      </c>
      <c r="M7" t="inlineStr">
        <is>
          <t>50% du volume total (règle interne)</t>
        </is>
      </c>
      <c r="N7" t="n">
        <v>220</v>
      </c>
      <c r="O7">
        <f>SI(M7="100% plus grand conteneur";AGREGAT(14;6;($G$3:$G$1000)/($K$3:$K$1000=K7);1); SI(M7="50% du volume total (règle interne)"; 0,5*SOMME.SI($K$3:$K$1000;K7;$I$3:$I$1000); ""))</f>
        <v/>
      </c>
      <c r="P7">
        <f>SIERREUR(ARRONDI(100*N7/O7;1);"")</f>
        <v/>
      </c>
      <c r="Q7">
        <f>SIERREUR(RECHERCHEV(K7;Audit_Compat!A:F;6;FAUX);"")</f>
        <v/>
      </c>
      <c r="R7" t="inlineStr">
        <is>
          <t>Disponible</t>
        </is>
      </c>
      <c r="S7" s="11" t="n">
        <v>44788</v>
      </c>
      <c r="T7">
        <f>SI(S7&lt;&gt;"";MOIS.DECALER(S7;Parametres!B2);"")</f>
        <v/>
      </c>
      <c r="U7" t="inlineStr"/>
      <c r="V7" t="inlineStr">
        <is>
          <t>Gants nitrile; masque A2</t>
        </is>
      </c>
      <c r="W7" t="inlineStr">
        <is>
          <t>Ambiante</t>
        </is>
      </c>
      <c r="X7" t="inlineStr">
        <is>
          <t>Oui</t>
        </is>
      </c>
      <c r="Y7" t="inlineStr"/>
    </row>
    <row r="8">
      <c r="A8" t="inlineStr">
        <is>
          <t>Xylène</t>
        </is>
      </c>
      <c r="B8" t="inlineStr">
        <is>
          <t>Fourn A</t>
        </is>
      </c>
      <c r="C8" t="inlineStr">
        <is>
          <t>1330-20-7</t>
        </is>
      </c>
      <c r="D8" t="inlineStr">
        <is>
          <t>1307</t>
        </is>
      </c>
      <c r="E8" t="inlineStr">
        <is>
          <t>Inflammable</t>
        </is>
      </c>
      <c r="F8" t="inlineStr">
        <is>
          <t>Flamme</t>
        </is>
      </c>
      <c r="G8" t="n">
        <v>20</v>
      </c>
      <c r="H8" t="n">
        <v>2</v>
      </c>
      <c r="I8">
        <f>G8*H8</f>
        <v/>
      </c>
      <c r="J8" t="inlineStr">
        <is>
          <t>Zone 3</t>
        </is>
      </c>
      <c r="K8" t="inlineStr">
        <is>
          <t>BAC-08</t>
        </is>
      </c>
      <c r="L8" t="inlineStr">
        <is>
          <t>Bidon 20L</t>
        </is>
      </c>
      <c r="M8" t="inlineStr">
        <is>
          <t>50% du volume total (règle interne)</t>
        </is>
      </c>
      <c r="N8" t="n">
        <v>220</v>
      </c>
      <c r="O8">
        <f>SI(M8="100% plus grand conteneur";AGREGAT(14;6;($G$3:$G$1000)/($K$3:$K$1000=K8);1); SI(M8="50% du volume total (règle interne)"; 0,5*SOMME.SI($K$3:$K$1000;K8;$I$3:$I$1000); ""))</f>
        <v/>
      </c>
      <c r="P8">
        <f>SIERREUR(ARRONDI(100*N8/O8;1);"")</f>
        <v/>
      </c>
      <c r="Q8">
        <f>SIERREUR(RECHERCHEV(K8;Audit_Compat!A:F;6;FAUX);"")</f>
        <v/>
      </c>
      <c r="R8" t="inlineStr">
        <is>
          <t>Disponible</t>
        </is>
      </c>
      <c r="S8" s="11" t="n">
        <v>45588</v>
      </c>
      <c r="T8">
        <f>SI(S8&lt;&gt;"";MOIS.DECALER(S8;Parametres!B2);"")</f>
        <v/>
      </c>
      <c r="U8" t="inlineStr"/>
      <c r="V8" t="inlineStr">
        <is>
          <t>Gants nitrile; lunettes</t>
        </is>
      </c>
      <c r="W8" t="inlineStr">
        <is>
          <t>Ambiante</t>
        </is>
      </c>
      <c r="X8" t="inlineStr">
        <is>
          <t>Oui</t>
        </is>
      </c>
      <c r="Y8" t="inlineStr"/>
    </row>
    <row r="9">
      <c r="A9" t="inlineStr">
        <is>
          <t>Peroxyde d’hydrogène 35%</t>
        </is>
      </c>
      <c r="B9" t="inlineStr">
        <is>
          <t>Fourn B</t>
        </is>
      </c>
      <c r="C9" t="inlineStr">
        <is>
          <t>7722-84-1</t>
        </is>
      </c>
      <c r="D9" t="inlineStr">
        <is>
          <t>2014</t>
        </is>
      </c>
      <c r="E9" t="inlineStr">
        <is>
          <t>Oxydant</t>
        </is>
      </c>
      <c r="F9" t="inlineStr">
        <is>
          <t>Flamme sur cercle (Oxydant)</t>
        </is>
      </c>
      <c r="G9" t="n">
        <v>20</v>
      </c>
      <c r="H9" t="n">
        <v>2</v>
      </c>
      <c r="I9">
        <f>G9*H9</f>
        <v/>
      </c>
      <c r="J9" t="inlineStr">
        <is>
          <t>Magasin chimie</t>
        </is>
      </c>
      <c r="K9" t="inlineStr">
        <is>
          <t>BAC-01</t>
        </is>
      </c>
      <c r="L9" t="inlineStr">
        <is>
          <t>Bidon 20L</t>
        </is>
      </c>
      <c r="M9" t="inlineStr">
        <is>
          <t>100% plus grand conteneur</t>
        </is>
      </c>
      <c r="N9" t="n">
        <v>220</v>
      </c>
      <c r="O9">
        <f>SI(M9="100% plus grand conteneur";AGREGAT(14;6;($G$3:$G$1000)/($K$3:$K$1000=K9);1); SI(M9="50% du volume total (règle interne)"; 0,5*SOMME.SI($K$3:$K$1000;K9;$I$3:$I$1000); ""))</f>
        <v/>
      </c>
      <c r="P9">
        <f>SIERREUR(ARRONDI(100*N9/O9;1);"")</f>
        <v/>
      </c>
      <c r="Q9">
        <f>SIERREUR(RECHERCHEV(K9;Audit_Compat!A:F;6;FAUX);"")</f>
        <v/>
      </c>
      <c r="R9" t="inlineStr">
        <is>
          <t>Disponible</t>
        </is>
      </c>
      <c r="S9" s="11" t="n">
        <v>45788</v>
      </c>
      <c r="T9">
        <f>SI(S9&lt;&gt;"";MOIS.DECALER(S9;Parametres!B2);"")</f>
        <v/>
      </c>
      <c r="U9" t="inlineStr"/>
      <c r="V9" t="inlineStr">
        <is>
          <t>Gants butyle; écran facial</t>
        </is>
      </c>
      <c r="W9" t="inlineStr">
        <is>
          <t>Frais (5–15°C)</t>
        </is>
      </c>
      <c r="X9" t="inlineStr">
        <is>
          <t>Oui</t>
        </is>
      </c>
      <c r="Y9" t="inlineStr"/>
    </row>
    <row r="10">
      <c r="A10" t="inlineStr">
        <is>
          <t>Hypochlorite de sodium 12,5%</t>
        </is>
      </c>
      <c r="B10" t="inlineStr">
        <is>
          <t>Fourn B</t>
        </is>
      </c>
      <c r="C10" t="inlineStr">
        <is>
          <t>7681-52-9</t>
        </is>
      </c>
      <c r="D10" t="inlineStr">
        <is>
          <t>1791</t>
        </is>
      </c>
      <c r="E10" t="inlineStr">
        <is>
          <t>Oxydant</t>
        </is>
      </c>
      <c r="F10" t="inlineStr">
        <is>
          <t>Corrosion</t>
        </is>
      </c>
      <c r="G10" t="n">
        <v>20</v>
      </c>
      <c r="H10" t="n">
        <v>3</v>
      </c>
      <c r="I10">
        <f>G10*H10</f>
        <v/>
      </c>
      <c r="J10" t="inlineStr">
        <is>
          <t>Local doseur</t>
        </is>
      </c>
      <c r="K10" t="inlineStr">
        <is>
          <t>BAC-05</t>
        </is>
      </c>
      <c r="L10" t="inlineStr">
        <is>
          <t>Bidon 20L</t>
        </is>
      </c>
      <c r="M10" t="inlineStr">
        <is>
          <t>50% du volume total (règle interne)</t>
        </is>
      </c>
      <c r="N10" t="n">
        <v>110</v>
      </c>
      <c r="O10">
        <f>SI(M10="100% plus grand conteneur";AGREGAT(14;6;($G$3:$G$1000)/($K$3:$K$1000=K10);1); SI(M10="50% du volume total (règle interne)"; 0,5*SOMME.SI($K$3:$K$1000;K10;$I$3:$I$1000); ""))</f>
        <v/>
      </c>
      <c r="P10">
        <f>SIERREUR(ARRONDI(100*N10/O10;1);"")</f>
        <v/>
      </c>
      <c r="Q10">
        <f>SIERREUR(RECHERCHEV(K10;Audit_Compat!A:F;6;FAUX);"")</f>
        <v/>
      </c>
      <c r="R10" t="inlineStr">
        <is>
          <t>Disponible</t>
        </is>
      </c>
      <c r="S10" s="11" t="n">
        <v>44688</v>
      </c>
      <c r="T10">
        <f>SI(S10&lt;&gt;"";MOIS.DECALER(S10;Parametres!B2);"")</f>
        <v/>
      </c>
      <c r="U10" t="inlineStr"/>
      <c r="V10" t="inlineStr">
        <is>
          <t>Gants nitrile; lunettes</t>
        </is>
      </c>
      <c r="W10" t="inlineStr">
        <is>
          <t>Ambiante</t>
        </is>
      </c>
      <c r="X10" t="inlineStr">
        <is>
          <t>Non</t>
        </is>
      </c>
      <c r="Y10" t="inlineStr">
        <is>
          <t>Dosage CIP</t>
        </is>
      </c>
    </row>
    <row r="11">
      <c r="A11" t="inlineStr">
        <is>
          <t>Soude 30%</t>
        </is>
      </c>
      <c r="B11" t="inlineStr">
        <is>
          <t>Fourn C</t>
        </is>
      </c>
      <c r="C11" t="inlineStr">
        <is>
          <t>1310-73-2</t>
        </is>
      </c>
      <c r="D11" t="inlineStr">
        <is>
          <t>1824</t>
        </is>
      </c>
      <c r="E11" t="inlineStr">
        <is>
          <t>Base</t>
        </is>
      </c>
      <c r="F11" t="inlineStr">
        <is>
          <t>Corrosion</t>
        </is>
      </c>
      <c r="G11" t="n">
        <v>20</v>
      </c>
      <c r="H11" t="n">
        <v>3</v>
      </c>
      <c r="I11">
        <f>G11*H11</f>
        <v/>
      </c>
      <c r="J11" t="inlineStr">
        <is>
          <t>Atelier A</t>
        </is>
      </c>
      <c r="K11" t="inlineStr">
        <is>
          <t>BAC-02</t>
        </is>
      </c>
      <c r="L11" t="inlineStr">
        <is>
          <t>Bidon 20L</t>
        </is>
      </c>
      <c r="M11" t="inlineStr">
        <is>
          <t>50% du volume total (règle interne)</t>
        </is>
      </c>
      <c r="N11" t="n">
        <v>220</v>
      </c>
      <c r="O11">
        <f>SI(M11="100% plus grand conteneur";AGREGAT(14;6;($G$3:$G$1000)/($K$3:$K$1000=K11);1); SI(M11="50% du volume total (règle interne)"; 0,5*SOMME.SI($K$3:$K$1000;K11;$I$3:$I$1000); ""))</f>
        <v/>
      </c>
      <c r="P11">
        <f>SIERREUR(ARRONDI(100*N11/O11;1);"")</f>
        <v/>
      </c>
      <c r="Q11">
        <f>SIERREUR(RECHERCHEV(K11;Audit_Compat!A:F;6;FAUX);"")</f>
        <v/>
      </c>
      <c r="R11" t="inlineStr">
        <is>
          <t>À obtenir</t>
        </is>
      </c>
      <c r="S11" s="11" t="n">
        <v>44488</v>
      </c>
      <c r="T11">
        <f>SI(S11&lt;&gt;"";MOIS.DECALER(S11;Parametres!B2);"")</f>
        <v/>
      </c>
      <c r="U11" t="inlineStr"/>
      <c r="V11" t="inlineStr">
        <is>
          <t>Gants nitrile; tablier</t>
        </is>
      </c>
      <c r="W11" t="inlineStr">
        <is>
          <t>Ambiante</t>
        </is>
      </c>
      <c r="X11" t="inlineStr">
        <is>
          <t>Non</t>
        </is>
      </c>
      <c r="Y11" t="inlineStr"/>
    </row>
    <row r="12">
      <c r="A12" t="inlineStr">
        <is>
          <t>Potasse 30%</t>
        </is>
      </c>
      <c r="B12" t="inlineStr">
        <is>
          <t>Fourn C</t>
        </is>
      </c>
      <c r="C12" t="inlineStr">
        <is>
          <t>1310-58-3</t>
        </is>
      </c>
      <c r="D12" t="inlineStr">
        <is>
          <t>1814</t>
        </is>
      </c>
      <c r="E12" t="inlineStr">
        <is>
          <t>Base</t>
        </is>
      </c>
      <c r="F12" t="inlineStr">
        <is>
          <t>Corrosion</t>
        </is>
      </c>
      <c r="G12" t="n">
        <v>20</v>
      </c>
      <c r="H12" t="n">
        <v>2</v>
      </c>
      <c r="I12">
        <f>G12*H12</f>
        <v/>
      </c>
      <c r="J12" t="inlineStr">
        <is>
          <t>Atelier B</t>
        </is>
      </c>
      <c r="K12" t="inlineStr">
        <is>
          <t>BAC-06</t>
        </is>
      </c>
      <c r="L12" t="inlineStr">
        <is>
          <t>Bidon 20L</t>
        </is>
      </c>
      <c r="M12" t="inlineStr">
        <is>
          <t>100% plus grand conteneur</t>
        </is>
      </c>
      <c r="N12" t="n">
        <v>220</v>
      </c>
      <c r="O12">
        <f>SI(M12="100% plus grand conteneur";AGREGAT(14;6;($G$3:$G$1000)/($K$3:$K$1000=K12);1); SI(M12="50% du volume total (règle interne)"; 0,5*SOMME.SI($K$3:$K$1000;K12;$I$3:$I$1000); ""))</f>
        <v/>
      </c>
      <c r="P12">
        <f>SIERREUR(ARRONDI(100*N12/O12;1);"")</f>
        <v/>
      </c>
      <c r="Q12">
        <f>SIERREUR(RECHERCHEV(K12;Audit_Compat!A:F;6;FAUX);"")</f>
        <v/>
      </c>
      <c r="R12" t="inlineStr">
        <is>
          <t>Disponible</t>
        </is>
      </c>
      <c r="S12" s="11" t="n">
        <v>45088</v>
      </c>
      <c r="T12">
        <f>SI(S12&lt;&gt;"";MOIS.DECALER(S12;Parametres!B2);"")</f>
        <v/>
      </c>
      <c r="U12" t="inlineStr"/>
      <c r="V12" t="inlineStr">
        <is>
          <t>Gants nitrile; tablier</t>
        </is>
      </c>
      <c r="W12" t="inlineStr">
        <is>
          <t>Ambiante</t>
        </is>
      </c>
      <c r="X12" t="inlineStr">
        <is>
          <t>Non</t>
        </is>
      </c>
      <c r="Y12" t="inlineStr"/>
    </row>
    <row r="13">
      <c r="A13" t="inlineStr">
        <is>
          <t>Ammoniaque 25%</t>
        </is>
      </c>
      <c r="B13" t="inlineStr">
        <is>
          <t>Fourn C</t>
        </is>
      </c>
      <c r="C13" t="inlineStr">
        <is>
          <t>1336-21-6</t>
        </is>
      </c>
      <c r="D13" t="inlineStr">
        <is>
          <t>2672</t>
        </is>
      </c>
      <c r="E13" t="inlineStr">
        <is>
          <t>Base</t>
        </is>
      </c>
      <c r="F13" t="inlineStr">
        <is>
          <t>Point d'exclamation</t>
        </is>
      </c>
      <c r="G13" t="n">
        <v>20</v>
      </c>
      <c r="H13" t="n">
        <v>2</v>
      </c>
      <c r="I13">
        <f>G13*H13</f>
        <v/>
      </c>
      <c r="J13" t="inlineStr">
        <is>
          <t>Zone 1</t>
        </is>
      </c>
      <c r="K13" t="inlineStr">
        <is>
          <t>BAC-07</t>
        </is>
      </c>
      <c r="L13" t="inlineStr">
        <is>
          <t>Bidon 20L</t>
        </is>
      </c>
      <c r="M13" t="inlineStr">
        <is>
          <t>50% du volume total (règle interne)</t>
        </is>
      </c>
      <c r="N13" t="n">
        <v>220</v>
      </c>
      <c r="O13">
        <f>SI(M13="100% plus grand conteneur";AGREGAT(14;6;($G$3:$G$1000)/($K$3:$K$1000=K13);1); SI(M13="50% du volume total (règle interne)"; 0,5*SOMME.SI($K$3:$K$1000;K13;$I$3:$I$1000); ""))</f>
        <v/>
      </c>
      <c r="P13">
        <f>SIERREUR(ARRONDI(100*N13/O13;1);"")</f>
        <v/>
      </c>
      <c r="Q13">
        <f>SIERREUR(RECHERCHEV(K13;Audit_Compat!A:F;6;FAUX);"")</f>
        <v/>
      </c>
      <c r="R13" t="inlineStr">
        <is>
          <t>Disponible</t>
        </is>
      </c>
      <c r="S13" s="11" t="n">
        <v>45388</v>
      </c>
      <c r="T13">
        <f>SI(S13&lt;&gt;"";MOIS.DECALER(S13;Parametres!B2);"")</f>
        <v/>
      </c>
      <c r="U13" t="inlineStr"/>
      <c r="V13" t="inlineStr">
        <is>
          <t>Gants nitrile; lunettes</t>
        </is>
      </c>
      <c r="W13" t="inlineStr">
        <is>
          <t>Ambiante</t>
        </is>
      </c>
      <c r="X13" t="inlineStr">
        <is>
          <t>Non</t>
        </is>
      </c>
      <c r="Y13" t="inlineStr">
        <is>
          <t>Odeur forte</t>
        </is>
      </c>
    </row>
    <row r="14">
      <c r="A14" t="inlineStr">
        <is>
          <t>Acide chlorhydrique 33%</t>
        </is>
      </c>
      <c r="B14" t="inlineStr">
        <is>
          <t>Fourn D</t>
        </is>
      </c>
      <c r="C14" t="inlineStr">
        <is>
          <t>7647-01-0</t>
        </is>
      </c>
      <c r="D14" t="inlineStr">
        <is>
          <t>1789</t>
        </is>
      </c>
      <c r="E14" t="inlineStr">
        <is>
          <t>Acide</t>
        </is>
      </c>
      <c r="F14" t="inlineStr">
        <is>
          <t>Corrosion</t>
        </is>
      </c>
      <c r="G14" t="n">
        <v>20</v>
      </c>
      <c r="H14" t="n">
        <v>2</v>
      </c>
      <c r="I14">
        <f>G14*H14</f>
        <v/>
      </c>
      <c r="J14" t="inlineStr">
        <is>
          <t>Atelier A</t>
        </is>
      </c>
      <c r="K14" t="inlineStr">
        <is>
          <t>BAC-02</t>
        </is>
      </c>
      <c r="L14" t="inlineStr">
        <is>
          <t>Bidon 20L</t>
        </is>
      </c>
      <c r="M14" t="inlineStr">
        <is>
          <t>50% du volume total (règle interne)</t>
        </is>
      </c>
      <c r="N14" t="n">
        <v>220</v>
      </c>
      <c r="O14">
        <f>SI(M14="100% plus grand conteneur";AGREGAT(14;6;($G$3:$G$1000)/($K$3:$K$1000=K14);1); SI(M14="50% du volume total (règle interne)"; 0,5*SOMME.SI($K$3:$K$1000;K14;$I$3:$I$1000); ""))</f>
        <v/>
      </c>
      <c r="P14">
        <f>SIERREUR(ARRONDI(100*N14/O14;1);"")</f>
        <v/>
      </c>
      <c r="Q14">
        <f>SIERREUR(RECHERCHEV(K14;Audit_Compat!A:F;6;FAUX);"")</f>
        <v/>
      </c>
      <c r="R14" t="inlineStr">
        <is>
          <t>Disponible</t>
        </is>
      </c>
      <c r="S14" s="11" t="n">
        <v>44988</v>
      </c>
      <c r="T14">
        <f>SI(S14&lt;&gt;"";MOIS.DECALER(S14;Parametres!B2);"")</f>
        <v/>
      </c>
      <c r="U14" t="inlineStr"/>
      <c r="V14" t="inlineStr">
        <is>
          <t>Gants néoprène; écran facial</t>
        </is>
      </c>
      <c r="W14" t="inlineStr">
        <is>
          <t>Ambiante</t>
        </is>
      </c>
      <c r="X14" t="inlineStr">
        <is>
          <t>Non</t>
        </is>
      </c>
      <c r="Y14" t="inlineStr"/>
    </row>
    <row r="15">
      <c r="A15" t="inlineStr">
        <is>
          <t>Acide sulfurique 96%</t>
        </is>
      </c>
      <c r="B15" t="inlineStr">
        <is>
          <t>Fourn D</t>
        </is>
      </c>
      <c r="C15" t="inlineStr">
        <is>
          <t>7664-93-9</t>
        </is>
      </c>
      <c r="D15" t="inlineStr">
        <is>
          <t>1830</t>
        </is>
      </c>
      <c r="E15" t="inlineStr">
        <is>
          <t>Acide</t>
        </is>
      </c>
      <c r="F15" t="inlineStr">
        <is>
          <t>Corrosion</t>
        </is>
      </c>
      <c r="G15" t="n">
        <v>20</v>
      </c>
      <c r="H15" t="n">
        <v>2</v>
      </c>
      <c r="I15">
        <f>G15*H15</f>
        <v/>
      </c>
      <c r="J15" t="inlineStr">
        <is>
          <t>Zone 3</t>
        </is>
      </c>
      <c r="K15" t="inlineStr">
        <is>
          <t>BAC-08</t>
        </is>
      </c>
      <c r="L15" t="inlineStr">
        <is>
          <t>Bidon 20L</t>
        </is>
      </c>
      <c r="M15" t="inlineStr">
        <is>
          <t>50% du volume total (règle interne)</t>
        </is>
      </c>
      <c r="N15" t="n">
        <v>220</v>
      </c>
      <c r="O15">
        <f>SI(M15="100% plus grand conteneur";AGREGAT(14;6;($G$3:$G$1000)/($K$3:$K$1000=K15);1); SI(M15="50% du volume total (règle interne)"; 0,5*SOMME.SI($K$3:$K$1000;K15;$I$3:$I$1000); ""))</f>
        <v/>
      </c>
      <c r="P15">
        <f>SIERREUR(ARRONDI(100*N15/O15;1);"")</f>
        <v/>
      </c>
      <c r="Q15">
        <f>SIERREUR(RECHERCHEV(K15;Audit_Compat!A:F;6;FAUX);"")</f>
        <v/>
      </c>
      <c r="R15" t="inlineStr">
        <is>
          <t>Disponible</t>
        </is>
      </c>
      <c r="S15" s="11" t="n">
        <v>44388</v>
      </c>
      <c r="T15">
        <f>SI(S15&lt;&gt;"";MOIS.DECALER(S15;Parametres!B2);"")</f>
        <v/>
      </c>
      <c r="U15" t="inlineStr"/>
      <c r="V15" t="inlineStr">
        <is>
          <t>Gants néoprène; écran facial</t>
        </is>
      </c>
      <c r="W15" t="inlineStr">
        <is>
          <t>Ambiante</t>
        </is>
      </c>
      <c r="X15" t="inlineStr">
        <is>
          <t>Non</t>
        </is>
      </c>
      <c r="Y15" t="inlineStr"/>
    </row>
    <row r="16">
      <c r="A16" t="inlineStr">
        <is>
          <t>Acide nitrique 65%</t>
        </is>
      </c>
      <c r="B16" t="inlineStr">
        <is>
          <t>Fourn D</t>
        </is>
      </c>
      <c r="C16" t="inlineStr">
        <is>
          <t>7697-37-2</t>
        </is>
      </c>
      <c r="D16" t="inlineStr">
        <is>
          <t>2031</t>
        </is>
      </c>
      <c r="E16" t="inlineStr">
        <is>
          <t>Acide</t>
        </is>
      </c>
      <c r="F16" t="inlineStr">
        <is>
          <t>Corrosion</t>
        </is>
      </c>
      <c r="G16" t="n">
        <v>20</v>
      </c>
      <c r="H16" t="n">
        <v>1</v>
      </c>
      <c r="I16">
        <f>G16*H16</f>
        <v/>
      </c>
      <c r="J16" t="inlineStr">
        <is>
          <t>Magasin chimie</t>
        </is>
      </c>
      <c r="K16" t="inlineStr">
        <is>
          <t>BAC-04</t>
        </is>
      </c>
      <c r="L16" t="inlineStr">
        <is>
          <t>Bidon 20L</t>
        </is>
      </c>
      <c r="M16" t="inlineStr">
        <is>
          <t>100% plus grand conteneur</t>
        </is>
      </c>
      <c r="N16" t="n">
        <v>110</v>
      </c>
      <c r="O16">
        <f>SI(M16="100% plus grand conteneur";AGREGAT(14;6;($G$3:$G$1000)/($K$3:$K$1000=K16);1); SI(M16="50% du volume total (règle interne)"; 0,5*SOMME.SI($K$3:$K$1000;K16;$I$3:$I$1000); ""))</f>
        <v/>
      </c>
      <c r="P16">
        <f>SIERREUR(ARRONDI(100*N16/O16;1);"")</f>
        <v/>
      </c>
      <c r="Q16">
        <f>SIERREUR(RECHERCHEV(K16;Audit_Compat!A:F;6;FAUX);"")</f>
        <v/>
      </c>
      <c r="R16" t="inlineStr">
        <is>
          <t>Disponible</t>
        </is>
      </c>
      <c r="S16" s="11" t="n">
        <v>44888</v>
      </c>
      <c r="T16">
        <f>SI(S16&lt;&gt;"";MOIS.DECALER(S16;Parametres!B2);"")</f>
        <v/>
      </c>
      <c r="U16" t="inlineStr"/>
      <c r="V16" t="inlineStr">
        <is>
          <t>Gants butyle; écran facial</t>
        </is>
      </c>
      <c r="W16" t="inlineStr">
        <is>
          <t>Ambiante</t>
        </is>
      </c>
      <c r="X16" t="inlineStr">
        <is>
          <t>Oui</t>
        </is>
      </c>
      <c r="Y16" t="inlineStr"/>
    </row>
    <row r="17">
      <c r="A17" t="inlineStr">
        <is>
          <t>Bisulfite de sodium</t>
        </is>
      </c>
      <c r="B17" t="inlineStr">
        <is>
          <t>Fourn E</t>
        </is>
      </c>
      <c r="C17" t="inlineStr">
        <is>
          <t>7631-90-5</t>
        </is>
      </c>
      <c r="D17" t="inlineStr">
        <is>
          <t>2693</t>
        </is>
      </c>
      <c r="E17" t="inlineStr">
        <is>
          <t>Reducteur</t>
        </is>
      </c>
      <c r="F17" t="inlineStr">
        <is>
          <t>Point d'exclamation</t>
        </is>
      </c>
      <c r="G17" t="n">
        <v>20</v>
      </c>
      <c r="H17" t="n">
        <v>2</v>
      </c>
      <c r="I17">
        <f>G17*H17</f>
        <v/>
      </c>
      <c r="J17" t="inlineStr">
        <is>
          <t>Zone 2</t>
        </is>
      </c>
      <c r="K17" t="inlineStr">
        <is>
          <t>BAC-07</t>
        </is>
      </c>
      <c r="L17" t="inlineStr">
        <is>
          <t>Bidon 20L</t>
        </is>
      </c>
      <c r="M17" t="inlineStr">
        <is>
          <t>50% du volume total (règle interne)</t>
        </is>
      </c>
      <c r="N17" t="n">
        <v>220</v>
      </c>
      <c r="O17">
        <f>SI(M17="100% plus grand conteneur";AGREGAT(14;6;($G$3:$G$1000)/($K$3:$K$1000=K17);1); SI(M17="50% du volume total (règle interne)"; 0,5*SOMME.SI($K$3:$K$1000;K17;$I$3:$I$1000); ""))</f>
        <v/>
      </c>
      <c r="P17">
        <f>SIERREUR(ARRONDI(100*N17/O17;1);"")</f>
        <v/>
      </c>
      <c r="Q17">
        <f>SIERREUR(RECHERCHEV(K17;Audit_Compat!A:F;6;FAUX);"")</f>
        <v/>
      </c>
      <c r="R17" t="inlineStr">
        <is>
          <t>Disponible</t>
        </is>
      </c>
      <c r="S17" s="11" t="n">
        <v>45688</v>
      </c>
      <c r="T17">
        <f>SI(S17&lt;&gt;"";MOIS.DECALER(S17;Parametres!B2);"")</f>
        <v/>
      </c>
      <c r="U17" t="inlineStr"/>
      <c r="V17" t="inlineStr">
        <is>
          <t>Gants nitrile; lunettes</t>
        </is>
      </c>
      <c r="W17" t="inlineStr">
        <is>
          <t>Ambiante</t>
        </is>
      </c>
      <c r="X17" t="inlineStr">
        <is>
          <t>Non</t>
        </is>
      </c>
      <c r="Y17" t="inlineStr"/>
    </row>
    <row r="18">
      <c r="A18" t="inlineStr">
        <is>
          <t>Hydrosulfite de sodium</t>
        </is>
      </c>
      <c r="B18" t="inlineStr">
        <is>
          <t>Fourn E</t>
        </is>
      </c>
      <c r="C18" t="inlineStr">
        <is>
          <t>7775-14-6</t>
        </is>
      </c>
      <c r="D18" t="inlineStr">
        <is>
          <t>1384</t>
        </is>
      </c>
      <c r="E18" t="inlineStr">
        <is>
          <t>Reducteur</t>
        </is>
      </c>
      <c r="F18" t="inlineStr">
        <is>
          <t>Point d'exclamation</t>
        </is>
      </c>
      <c r="G18" t="n">
        <v>20</v>
      </c>
      <c r="H18" t="n">
        <v>1</v>
      </c>
      <c r="I18">
        <f>G18*H18</f>
        <v/>
      </c>
      <c r="J18" t="inlineStr">
        <is>
          <t>Zone 1</t>
        </is>
      </c>
      <c r="K18" t="inlineStr">
        <is>
          <t>BAC-07</t>
        </is>
      </c>
      <c r="L18" t="inlineStr">
        <is>
          <t>Bidon 20L</t>
        </is>
      </c>
      <c r="M18" t="inlineStr">
        <is>
          <t>50% du volume total (règle interne)</t>
        </is>
      </c>
      <c r="N18" t="n">
        <v>220</v>
      </c>
      <c r="O18">
        <f>SI(M18="100% plus grand conteneur";AGREGAT(14;6;($G$3:$G$1000)/($K$3:$K$1000=K18);1); SI(M18="50% du volume total (règle interne)"; 0,5*SOMME.SI($K$3:$K$1000;K18;$I$3:$I$1000); ""))</f>
        <v/>
      </c>
      <c r="P18">
        <f>SIERREUR(ARRONDI(100*N18/O18;1);"")</f>
        <v/>
      </c>
      <c r="Q18">
        <f>SIERREUR(RECHERCHEV(K18;Audit_Compat!A:F;6;FAUX);"")</f>
        <v/>
      </c>
      <c r="R18" t="inlineStr">
        <is>
          <t>Disponible</t>
        </is>
      </c>
      <c r="S18" s="11" t="n">
        <v>45188</v>
      </c>
      <c r="T18">
        <f>SI(S18&lt;&gt;"";MOIS.DECALER(S18;Parametres!B2);"")</f>
        <v/>
      </c>
      <c r="U18" t="inlineStr"/>
      <c r="V18" t="inlineStr">
        <is>
          <t>Gants nitrile; lunettes</t>
        </is>
      </c>
      <c r="W18" t="inlineStr">
        <is>
          <t>Ambiante</t>
        </is>
      </c>
      <c r="X18" t="inlineStr">
        <is>
          <t>Non</t>
        </is>
      </c>
      <c r="Y18" t="inlineStr"/>
    </row>
    <row r="19">
      <c r="A19" t="inlineStr">
        <is>
          <t>Carbure de calcium</t>
        </is>
      </c>
      <c r="B19" t="inlineStr">
        <is>
          <t>Fourn E</t>
        </is>
      </c>
      <c r="C19" t="inlineStr">
        <is>
          <t>75-20-7</t>
        </is>
      </c>
      <c r="D19" t="inlineStr"/>
      <c r="E19" t="inlineStr">
        <is>
          <t>Eau-reactif</t>
        </is>
      </c>
      <c r="F19" t="inlineStr">
        <is>
          <t>Point d'exclamation</t>
        </is>
      </c>
      <c r="G19" t="n">
        <v>20</v>
      </c>
      <c r="H19" t="n">
        <v>1</v>
      </c>
      <c r="I19">
        <f>G19*H19</f>
        <v/>
      </c>
      <c r="J19" t="inlineStr">
        <is>
          <t>Extérieur</t>
        </is>
      </c>
      <c r="K19" t="inlineStr">
        <is>
          <t>BAC-03</t>
        </is>
      </c>
      <c r="L19" t="inlineStr">
        <is>
          <t>Bidon 20L</t>
        </is>
      </c>
      <c r="M19" t="inlineStr">
        <is>
          <t>100% plus grand conteneur</t>
        </is>
      </c>
      <c r="N19" t="n">
        <v>220</v>
      </c>
      <c r="O19">
        <f>SI(M19="100% plus grand conteneur";AGREGAT(14;6;($G$3:$G$1000)/($K$3:$K$1000=K19);1); SI(M19="50% du volume total (règle interne)"; 0,5*SOMME.SI($K$3:$K$1000;K19;$I$3:$I$1000); ""))</f>
        <v/>
      </c>
      <c r="P19">
        <f>SIERREUR(ARRONDI(100*N19/O19;1);"")</f>
        <v/>
      </c>
      <c r="Q19">
        <f>SIERREUR(RECHERCHEV(K19;Audit_Compat!A:F;6;FAUX);"")</f>
        <v/>
      </c>
      <c r="R19" t="inlineStr">
        <is>
          <t>Disponible</t>
        </is>
      </c>
      <c r="S19" s="11" t="n">
        <v>45888</v>
      </c>
      <c r="T19">
        <f>SI(S19&lt;&gt;"";MOIS.DECALER(S19;Parametres!B2);"")</f>
        <v/>
      </c>
      <c r="U19" t="inlineStr"/>
      <c r="V19" t="inlineStr">
        <is>
          <t>Gants secs; pas d'eau</t>
        </is>
      </c>
      <c r="W19" t="inlineStr">
        <is>
          <t>Sec/abrité</t>
        </is>
      </c>
      <c r="X19" t="inlineStr">
        <is>
          <t>Oui</t>
        </is>
      </c>
      <c r="Y19" t="inlineStr">
        <is>
          <t>Risque gaz acétylène</t>
        </is>
      </c>
    </row>
    <row r="20">
      <c r="A20" t="inlineStr">
        <is>
          <t>Méthanol</t>
        </is>
      </c>
      <c r="B20" t="inlineStr">
        <is>
          <t>Fourn A</t>
        </is>
      </c>
      <c r="C20" t="inlineStr">
        <is>
          <t>67-56-1</t>
        </is>
      </c>
      <c r="D20" t="inlineStr">
        <is>
          <t>1230</t>
        </is>
      </c>
      <c r="E20" t="inlineStr">
        <is>
          <t>Toxique</t>
        </is>
      </c>
      <c r="F20" t="inlineStr">
        <is>
          <t>Crâne (toxicité aiguë)</t>
        </is>
      </c>
      <c r="G20" t="n">
        <v>20</v>
      </c>
      <c r="H20" t="n">
        <v>2</v>
      </c>
      <c r="I20">
        <f>G20*H20</f>
        <v/>
      </c>
      <c r="J20" t="inlineStr">
        <is>
          <t>Magasin chimie</t>
        </is>
      </c>
      <c r="K20" t="inlineStr">
        <is>
          <t>BAC-01</t>
        </is>
      </c>
      <c r="L20" t="inlineStr">
        <is>
          <t>Bidon 20L</t>
        </is>
      </c>
      <c r="M20" t="inlineStr">
        <is>
          <t>100% plus grand conteneur</t>
        </is>
      </c>
      <c r="N20" t="n">
        <v>220</v>
      </c>
      <c r="O20">
        <f>SI(M20="100% plus grand conteneur";AGREGAT(14;6;($G$3:$G$1000)/($K$3:$K$1000=K20);1); SI(M20="50% du volume total (règle interne)"; 0,5*SOMME.SI($K$3:$K$1000;K20;$I$3:$I$1000); ""))</f>
        <v/>
      </c>
      <c r="P20">
        <f>SIERREUR(ARRONDI(100*N20/O20;1);"")</f>
        <v/>
      </c>
      <c r="Q20">
        <f>SIERREUR(RECHERCHEV(K20;Audit_Compat!A:F;6;FAUX);"")</f>
        <v/>
      </c>
      <c r="R20" t="inlineStr">
        <is>
          <t>Disponible</t>
        </is>
      </c>
      <c r="S20" s="11" t="n">
        <v>45588</v>
      </c>
      <c r="T20">
        <f>SI(S20&lt;&gt;"";MOIS.DECALER(S20;Parametres!B2);"")</f>
        <v/>
      </c>
      <c r="U20" t="inlineStr"/>
      <c r="V20" t="inlineStr">
        <is>
          <t>Gants nitrile; lunettes</t>
        </is>
      </c>
      <c r="W20" t="inlineStr">
        <is>
          <t>Ambiante</t>
        </is>
      </c>
      <c r="X20" t="inlineStr">
        <is>
          <t>Oui</t>
        </is>
      </c>
      <c r="Y20" t="inlineStr">
        <is>
          <t>Toxique + inflammable</t>
        </is>
      </c>
    </row>
    <row r="21">
      <c r="A21" t="inlineStr">
        <is>
          <t>Formaldéhyde 37%</t>
        </is>
      </c>
      <c r="B21" t="inlineStr">
        <is>
          <t>Fourn F</t>
        </is>
      </c>
      <c r="C21" t="inlineStr">
        <is>
          <t>50-00-0</t>
        </is>
      </c>
      <c r="D21" t="inlineStr">
        <is>
          <t>2209</t>
        </is>
      </c>
      <c r="E21" t="inlineStr">
        <is>
          <t>Toxique</t>
        </is>
      </c>
      <c r="F21" t="inlineStr">
        <is>
          <t>Crâne (toxicité aiguë)</t>
        </is>
      </c>
      <c r="G21" t="n">
        <v>20</v>
      </c>
      <c r="H21" t="n">
        <v>1</v>
      </c>
      <c r="I21">
        <f>G21*H21</f>
        <v/>
      </c>
      <c r="J21" t="inlineStr">
        <is>
          <t>Atelier B</t>
        </is>
      </c>
      <c r="K21" t="inlineStr">
        <is>
          <t>BAC-06</t>
        </is>
      </c>
      <c r="L21" t="inlineStr">
        <is>
          <t>Bidon 20L</t>
        </is>
      </c>
      <c r="M21" t="inlineStr">
        <is>
          <t>100% plus grand conteneur</t>
        </is>
      </c>
      <c r="N21" t="n">
        <v>220</v>
      </c>
      <c r="O21">
        <f>SI(M21="100% plus grand conteneur";AGREGAT(14;6;($G$3:$G$1000)/($K$3:$K$1000=K21);1); SI(M21="50% du volume total (règle interne)"; 0,5*SOMME.SI($K$3:$K$1000;K21;$I$3:$I$1000); ""))</f>
        <v/>
      </c>
      <c r="P21">
        <f>SIERREUR(ARRONDI(100*N21/O21;1);"")</f>
        <v/>
      </c>
      <c r="Q21">
        <f>SIERREUR(RECHERCHEV(K21;Audit_Compat!A:F;6;FAUX);"")</f>
        <v/>
      </c>
      <c r="R21" t="inlineStr">
        <is>
          <t>Disponible</t>
        </is>
      </c>
      <c r="S21" s="11" t="n">
        <v>44438</v>
      </c>
      <c r="T21">
        <f>SI(S21&lt;&gt;"";MOIS.DECALER(S21;Parametres!B2);"")</f>
        <v/>
      </c>
      <c r="U21" t="inlineStr"/>
      <c r="V21" t="inlineStr">
        <is>
          <t>Gants nitrile; écran facial</t>
        </is>
      </c>
      <c r="W21" t="inlineStr">
        <is>
          <t>Ambiante</t>
        </is>
      </c>
      <c r="X21" t="inlineStr">
        <is>
          <t>Oui</t>
        </is>
      </c>
      <c r="Y21" t="inlineStr"/>
    </row>
    <row r="22">
      <c r="A22" t="inlineStr">
        <is>
          <t>Azote (gaz)</t>
        </is>
      </c>
      <c r="B22" t="inlineStr">
        <is>
          <t>Fourn G</t>
        </is>
      </c>
      <c r="C22" t="inlineStr"/>
      <c r="D22" t="inlineStr">
        <is>
          <t>1977</t>
        </is>
      </c>
      <c r="E22" t="inlineStr">
        <is>
          <t>Gaz sous pression</t>
        </is>
      </c>
      <c r="F22" t="inlineStr">
        <is>
          <t>Bouteille de gaz</t>
        </is>
      </c>
      <c r="G22" t="n">
        <v>0</v>
      </c>
      <c r="H22" t="n">
        <v>4</v>
      </c>
      <c r="I22">
        <f>G22*H22</f>
        <v/>
      </c>
      <c r="J22" t="inlineStr">
        <is>
          <t>Magasin chimie</t>
        </is>
      </c>
      <c r="K22" t="inlineStr">
        <is>
          <t>BAC-04</t>
        </is>
      </c>
      <c r="L22" t="inlineStr">
        <is>
          <t>Bonbonne gaz</t>
        </is>
      </c>
      <c r="M22" t="inlineStr">
        <is>
          <t>100% plus grand conteneur</t>
        </is>
      </c>
      <c r="N22" t="n">
        <v>110</v>
      </c>
      <c r="O22">
        <f>SI(M22="100% plus grand conteneur";AGREGAT(14;6;($G$3:$G$1000)/($K$3:$K$1000=K22);1); SI(M22="50% du volume total (règle interne)"; 0,5*SOMME.SI($K$3:$K$1000;K22;$I$3:$I$1000); ""))</f>
        <v/>
      </c>
      <c r="P22">
        <f>SIERREUR(ARRONDI(100*N22/O22;1);"")</f>
        <v/>
      </c>
      <c r="Q22">
        <f>SIERREUR(RECHERCHEV(K22;Audit_Compat!A:F;6;FAUX);"")</f>
        <v/>
      </c>
      <c r="R22" t="inlineStr">
        <is>
          <t>Disponible</t>
        </is>
      </c>
      <c r="S22" s="11" t="n">
        <v>45488</v>
      </c>
      <c r="T22">
        <f>SI(S22&lt;&gt;"";MOIS.DECALER(S22;Parametres!B2);"")</f>
        <v/>
      </c>
      <c r="U22" t="inlineStr"/>
      <c r="V22" t="inlineStr">
        <is>
          <t>Gants cuir; chariot bouteilles</t>
        </is>
      </c>
      <c r="W22" t="inlineStr">
        <is>
          <t>Frais/ventilé</t>
        </is>
      </c>
      <c r="X22" t="inlineStr">
        <is>
          <t>Oui</t>
        </is>
      </c>
      <c r="Y22" t="inlineStr"/>
    </row>
    <row r="23">
      <c r="A23" t="inlineStr">
        <is>
          <t>Propane (gaz)</t>
        </is>
      </c>
      <c r="B23" t="inlineStr">
        <is>
          <t>Fourn G</t>
        </is>
      </c>
      <c r="C23" t="inlineStr"/>
      <c r="D23" t="inlineStr">
        <is>
          <t>1978</t>
        </is>
      </c>
      <c r="E23" t="inlineStr">
        <is>
          <t>Gaz sous pression</t>
        </is>
      </c>
      <c r="F23" t="inlineStr">
        <is>
          <t>Bouteille de gaz</t>
        </is>
      </c>
      <c r="G23" t="n">
        <v>0</v>
      </c>
      <c r="H23" t="n">
        <v>2</v>
      </c>
      <c r="I23">
        <f>G23*H23</f>
        <v/>
      </c>
      <c r="J23" t="inlineStr">
        <is>
          <t>Extérieur</t>
        </is>
      </c>
      <c r="K23" t="inlineStr">
        <is>
          <t>BAC-03</t>
        </is>
      </c>
      <c r="L23" t="inlineStr">
        <is>
          <t>Bonbonne gaz</t>
        </is>
      </c>
      <c r="M23" t="inlineStr">
        <is>
          <t>100% plus grand conteneur</t>
        </is>
      </c>
      <c r="N23" t="n">
        <v>220</v>
      </c>
      <c r="O23">
        <f>SI(M23="100% plus grand conteneur";AGREGAT(14;6;($G$3:$G$1000)/($K$3:$K$1000=K23);1); SI(M23="50% du volume total (règle interne)"; 0,5*SOMME.SI($K$3:$K$1000;K23;$I$3:$I$1000); ""))</f>
        <v/>
      </c>
      <c r="P23">
        <f>SIERREUR(ARRONDI(100*N23/O23;1);"")</f>
        <v/>
      </c>
      <c r="Q23">
        <f>SIERREUR(RECHERCHEV(K23;Audit_Compat!A:F;6;FAUX);"")</f>
        <v/>
      </c>
      <c r="R23" t="inlineStr">
        <is>
          <t>Disponible</t>
        </is>
      </c>
      <c r="S23" s="11" t="n">
        <v>45088</v>
      </c>
      <c r="T23">
        <f>SI(S23&lt;&gt;"";MOIS.DECALER(S23;Parametres!B2);"")</f>
        <v/>
      </c>
      <c r="U23" t="inlineStr"/>
      <c r="V23" t="inlineStr">
        <is>
          <t>Gants cuir; chariot bouteilles</t>
        </is>
      </c>
      <c r="W23" t="inlineStr">
        <is>
          <t>Aéré</t>
        </is>
      </c>
      <c r="X23" t="inlineStr">
        <is>
          <t>Oui</t>
        </is>
      </c>
      <c r="Y23" t="inlineStr"/>
    </row>
    <row r="24">
      <c r="A24" t="inlineStr">
        <is>
          <t>Huile minérale</t>
        </is>
      </c>
      <c r="B24" t="inlineStr">
        <is>
          <t>Fourn H</t>
        </is>
      </c>
      <c r="C24" t="inlineStr"/>
      <c r="D24" t="inlineStr"/>
      <c r="E24" t="inlineStr">
        <is>
          <t>Combustible</t>
        </is>
      </c>
      <c r="F24" t="inlineStr">
        <is>
          <t>Point d'exclamation</t>
        </is>
      </c>
      <c r="G24" t="n">
        <v>20</v>
      </c>
      <c r="H24" t="n">
        <v>4</v>
      </c>
      <c r="I24">
        <f>G24*H24</f>
        <v/>
      </c>
      <c r="J24" t="inlineStr">
        <is>
          <t>Atelier B</t>
        </is>
      </c>
      <c r="K24" t="inlineStr">
        <is>
          <t>BAC-06</t>
        </is>
      </c>
      <c r="L24" t="inlineStr">
        <is>
          <t>Bidon 20L</t>
        </is>
      </c>
      <c r="M24" t="inlineStr">
        <is>
          <t>100% plus grand conteneur</t>
        </is>
      </c>
      <c r="N24" t="n">
        <v>220</v>
      </c>
      <c r="O24">
        <f>SI(M24="100% plus grand conteneur";AGREGAT(14;6;($G$3:$G$1000)/($K$3:$K$1000=K24);1); SI(M24="50% du volume total (règle interne)"; 0,5*SOMME.SI($K$3:$K$1000;K24;$I$3:$I$1000); ""))</f>
        <v/>
      </c>
      <c r="P24">
        <f>SIERREUR(ARRONDI(100*N24/O24;1);"")</f>
        <v/>
      </c>
      <c r="Q24">
        <f>SIERREUR(RECHERCHEV(K24;Audit_Compat!A:F;6;FAUX);"")</f>
        <v/>
      </c>
      <c r="R24" t="inlineStr">
        <is>
          <t>Disponible</t>
        </is>
      </c>
      <c r="S24" s="11" t="n">
        <v>45788</v>
      </c>
      <c r="T24">
        <f>SI(S24&lt;&gt;"";MOIS.DECALER(S24;Parametres!B2);"")</f>
        <v/>
      </c>
      <c r="U24" t="inlineStr"/>
      <c r="V24" t="inlineStr">
        <is>
          <t>Gants nitrile</t>
        </is>
      </c>
      <c r="W24" t="inlineStr">
        <is>
          <t>Ambiante</t>
        </is>
      </c>
      <c r="X24" t="inlineStr">
        <is>
          <t>Non</t>
        </is>
      </c>
      <c r="Y24" t="inlineStr"/>
    </row>
  </sheetData>
  <mergeCells count="1">
    <mergeCell ref="A1:Z1"/>
  </mergeCells>
  <conditionalFormatting sqref="R3:R1000">
    <cfRule type="expression" priority="1" dxfId="0">
      <formula>R3="À obtenir"</formula>
    </cfRule>
  </conditionalFormatting>
  <conditionalFormatting sqref="T3:T1000">
    <cfRule type="expression" priority="2" dxfId="1">
      <formula>ET(T3&lt;&gt;"";T3&lt;AUJOURDHUI())</formula>
    </cfRule>
  </conditionalFormatting>
  <conditionalFormatting sqref="P3:P1000">
    <cfRule type="expression" priority="3" dxfId="0">
      <formula>ET(P3&lt;&gt;"";P3&lt;Parametres!B3)</formula>
    </cfRule>
  </conditionalFormatting>
  <dataValidations count="6">
    <dataValidation sqref="E3 E4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showErrorMessage="1" showDropDown="1" showInputMessage="1" allowBlank="1" type="list">
      <formula1>"Inflammable,Oxydant,Acide,Base,Toxique,Reducteur,Eau-reactif,Gaz sous pression,Combustible,Autre"</formula1>
    </dataValidation>
    <dataValidation sqref="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showErrorMessage="1" showDropDown="1" showInputMessage="1" allowBlank="1" type="list">
      <formula1>"Flamme,Flamme sur cercle (Oxydant),Corrosion,Crâne (toxicité aiguë),Point d'exclamation,Bouteille de gaz,Explosif,Environnement,Danger pour la santé"</formula1>
    </dataValidation>
    <dataValidation sqref="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showErrorMessage="1" showDropDown="1" showInputMessage="1" allowBlank="1" type="list">
      <formula1>"Magasin chimie,Local doseur,Atelier A,Atelier B,Zone 1,Zone 2,Zone 3,Extérieur"</formula1>
    </dataValidation>
    <dataValidation sqref="L3 L4 L5 L6 L7 L8 L9 L10 L11 L12 L13 L14 L15 L16 L17 L18 L19 L20 L21 L22 L23 L24 L25 L26 L27 L28 L29 L30 L31 L32 L33 L34 L35 L36 L37 L38 L39 L40 L41 L42 L43 L44 L45 L46 L47 L48 L49 L50 L51 L52 L53 L54 L55 L56 L57 L58 L59 L60 L61 L62 L63 L64 L65 L66 L67 L68 L69 L70 L71 L72 L73 L74 L75 L76 L77 L78 L79 L80 L81 L82 L83 L84 L85 L86 L87 L88 L89 L90 L91 L92 L93 L94 L95 L96 L97 L98 L99 L100 L101 L102 L103 L104 L105 L106 L107 L108 L109 L110 L111 L112 L113 L114 L115 L116 L117 L118 L119" showErrorMessage="1" showDropDown="1" showInputMessage="1" allowBlank="1" type="list">
      <formula1>"Flacon,Bidon 20L,Fût 200L,IBC 1000L,Bonbonne gaz,Bac rétention 220L,Armoire ventilée,Autre"</formula1>
    </dataValidation>
    <dataValidation sqref="M3 M4 M5 M6 M7 M8 M9 M10 M11 M12 M13 M14 M15 M16 M17 M18 M19 M20 M21 M22 M23 M24 M25 M26 M27 M28 M29 M30 M31 M32 M33 M34 M35 M36 M37 M38 M39 M40 M41 M42 M43 M44 M45 M46 M47 M48 M49 M50 M51 M52 M53 M54 M55 M56 M57 M58 M59 M60 M61 M62 M63 M64 M65 M66 M67 M68 M69 M70 M71 M72 M73 M74 M75 M76 M77 M78 M79 M80 M81 M82 M83 M84 M85 M86 M87 M88 M89 M90 M91 M92 M93 M94 M95 M96 M97 M98 M99 M100 M101 M102 M103 M104 M105 M106 M107 M108 M109 M110 M111 M112 M113 M114 M115 M116 M117 M118 M119" showErrorMessage="1" showDropDown="1" showInputMessage="1" allowBlank="1" type="list">
      <formula1>"100% plus grand conteneur,50% du volume total (règle interne)"</formula1>
    </dataValidation>
    <dataValidation sqref="R3 R4 R5 R6 R7 R8 R9 R10 R11 R12 R13 R14 R15 R16 R17 R18 R19 R20 R21 R22 R23 R24 R25 R26 R27 R28 R29 R30 R31 R32 R33 R34 R35 R36 R37 R38 R39 R40 R41 R42 R43 R44 R45 R46 R47 R48 R49 R50 R51 R52 R53 R54 R55 R56 R57 R58 R59 R60 R61 R62 R63 R64 R65 R66 R67 R68 R69 R70 R71 R72 R73 R74 R75 R76 R77 R78 R79 R80 R81 R82 R83 R84 R85 R86 R87 R88 R89 R90 R91 R92 R93 R94 R95 R96 R97 R98 R99 R100 R101 R102 R103 R104 R105 R106 R107 R108 R109 R110 R111 R112 R113 R114 R115 R116 R117 R118 R119" showErrorMessage="1" showDropDown="1" showInputMessage="1" allowBlank="1" type="list">
      <formula1>"Disponible,À obtenir"</formula1>
    </dataValidation>
  </dataValidations>
  <pageMargins left="0.75" right="0.75" top="1" bottom="1" header="0.5" footer="0.5"/>
  <tableParts count="1">
    <tablePart xmlns:r="http://schemas.openxmlformats.org/officeDocument/2006/relationships" r:id="rId1"/>
  </tableParts>
</worksheet>
</file>

<file path=xl/worksheets/sheet6.xml><?xml version="1.0" encoding="utf-8"?>
<worksheet xmlns="http://schemas.openxmlformats.org/spreadsheetml/2006/main">
  <sheetPr>
    <outlinePr summaryBelow="1" summaryRight="1"/>
    <pageSetUpPr/>
  </sheetPr>
  <dimension ref="A1:N12"/>
  <sheetViews>
    <sheetView workbookViewId="0">
      <selection activeCell="A1" sqref="A1"/>
    </sheetView>
  </sheetViews>
  <sheetFormatPr baseColWidth="8" defaultRowHeight="15"/>
  <cols>
    <col width="12"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6" customWidth="1" min="14" max="14"/>
    <col width="16" customWidth="1" min="15" max="15"/>
    <col width="22" customWidth="1" min="16" max="16"/>
  </cols>
  <sheetData>
    <row r="1" ht="28" customHeight="1">
      <c r="A1" s="12" t="inlineStr">
        <is>
          <t>Audit compatibilité par bac — calcul automatique</t>
        </is>
      </c>
    </row>
    <row r="2">
      <c r="A2" s="13" t="inlineStr">
        <is>
          <t>Bac_ID</t>
        </is>
      </c>
      <c r="B2" s="13" t="inlineStr">
        <is>
          <t>Présence Inflammable</t>
        </is>
      </c>
      <c r="C2" s="13" t="inlineStr">
        <is>
          <t>Présence Oxydant</t>
        </is>
      </c>
      <c r="D2" s="13" t="inlineStr">
        <is>
          <t>Présence Acide</t>
        </is>
      </c>
      <c r="E2" s="13" t="inlineStr">
        <is>
          <t>Présence Base</t>
        </is>
      </c>
      <c r="F2" s="13" t="inlineStr">
        <is>
          <t>Présence Toxique</t>
        </is>
      </c>
      <c r="G2" s="13" t="inlineStr">
        <is>
          <t>Présence Reducteur</t>
        </is>
      </c>
      <c r="H2" s="13" t="inlineStr">
        <is>
          <t>Présence Eau-reactif</t>
        </is>
      </c>
      <c r="I2" s="13" t="inlineStr">
        <is>
          <t>Présence Gaz sous pression</t>
        </is>
      </c>
      <c r="J2" s="13" t="inlineStr">
        <is>
          <t>Présence Combustible</t>
        </is>
      </c>
      <c r="K2" s="13" t="inlineStr">
        <is>
          <t>Présence Autre</t>
        </is>
      </c>
      <c r="L2" s="13" t="inlineStr">
        <is>
          <t>Score Interdit</t>
        </is>
      </c>
      <c r="M2" s="13" t="inlineStr">
        <is>
          <t>Score Séparer</t>
        </is>
      </c>
      <c r="N2" s="13" t="inlineStr">
        <is>
          <t>Statut compatibilité</t>
        </is>
      </c>
    </row>
    <row r="3">
      <c r="A3" t="inlineStr">
        <is>
          <t>BAC-01</t>
        </is>
      </c>
      <c r="B3">
        <f>SIGNE(NB.SI.ENS(Inventaire_Chimiques!$K:$K;$A3;Inventaire_Chimiques!$E:$E;"Inflammable"))</f>
        <v/>
      </c>
      <c r="C3">
        <f>SIGNE(NB.SI.ENS(Inventaire_Chimiques!$K:$K;$A3;Inventaire_Chimiques!$E:$E;"Oxydant"))</f>
        <v/>
      </c>
      <c r="D3">
        <f>SIGNE(NB.SI.ENS(Inventaire_Chimiques!$K:$K;$A3;Inventaire_Chimiques!$E:$E;"Acide"))</f>
        <v/>
      </c>
      <c r="E3">
        <f>SIGNE(NB.SI.ENS(Inventaire_Chimiques!$K:$K;$A3;Inventaire_Chimiques!$E:$E;"Base"))</f>
        <v/>
      </c>
      <c r="F3">
        <f>SIGNE(NB.SI.ENS(Inventaire_Chimiques!$K:$K;$A3;Inventaire_Chimiques!$E:$E;"Toxique"))</f>
        <v/>
      </c>
      <c r="G3">
        <f>SIGNE(NB.SI.ENS(Inventaire_Chimiques!$K:$K;$A3;Inventaire_Chimiques!$E:$E;"Reducteur"))</f>
        <v/>
      </c>
      <c r="H3">
        <f>SIGNE(NB.SI.ENS(Inventaire_Chimiques!$K:$K;$A3;Inventaire_Chimiques!$E:$E;"Eau-reactif"))</f>
        <v/>
      </c>
      <c r="I3">
        <f>SIGNE(NB.SI.ENS(Inventaire_Chimiques!$K:$K;$A3;Inventaire_Chimiques!$E:$E;"Gaz sous pression"))</f>
        <v/>
      </c>
      <c r="J3">
        <f>SIGNE(NB.SI.ENS(Inventaire_Chimiques!$K:$K;$A3;Inventaire_Chimiques!$E:$E;"Combustible"))</f>
        <v/>
      </c>
      <c r="K3">
        <f>SIGNE(NB.SI.ENS(Inventaire_Chimiques!$K:$K;$A3;Inventaire_Chimiques!$E:$E;"Autre"))</f>
        <v/>
      </c>
      <c r="L3">
        <f>SOMMEPROD(PRODUIT.MAT(B3:K3;Matrice_Compat!B16:K25);TRANSPOSE(B3:K3))</f>
        <v/>
      </c>
      <c r="M3">
        <f>SOMMEPROD(PRODUIT.MAT(B3:K3;Matrice_Compat!B28:K37);TRANSPOSE(B3:K3))</f>
        <v/>
      </c>
      <c r="N3">
        <f>SI(L3&gt;0;"Interdit";SI(M3&gt;0;"Séparer";"OK"))</f>
        <v/>
      </c>
    </row>
    <row r="4">
      <c r="A4" t="inlineStr">
        <is>
          <t>BAC-02</t>
        </is>
      </c>
      <c r="B4">
        <f>SIGNE(NB.SI.ENS(Inventaire_Chimiques!$K:$K;$A4;Inventaire_Chimiques!$E:$E;"Inflammable"))</f>
        <v/>
      </c>
      <c r="C4">
        <f>SIGNE(NB.SI.ENS(Inventaire_Chimiques!$K:$K;$A4;Inventaire_Chimiques!$E:$E;"Oxydant"))</f>
        <v/>
      </c>
      <c r="D4">
        <f>SIGNE(NB.SI.ENS(Inventaire_Chimiques!$K:$K;$A4;Inventaire_Chimiques!$E:$E;"Acide"))</f>
        <v/>
      </c>
      <c r="E4">
        <f>SIGNE(NB.SI.ENS(Inventaire_Chimiques!$K:$K;$A4;Inventaire_Chimiques!$E:$E;"Base"))</f>
        <v/>
      </c>
      <c r="F4">
        <f>SIGNE(NB.SI.ENS(Inventaire_Chimiques!$K:$K;$A4;Inventaire_Chimiques!$E:$E;"Toxique"))</f>
        <v/>
      </c>
      <c r="G4">
        <f>SIGNE(NB.SI.ENS(Inventaire_Chimiques!$K:$K;$A4;Inventaire_Chimiques!$E:$E;"Reducteur"))</f>
        <v/>
      </c>
      <c r="H4">
        <f>SIGNE(NB.SI.ENS(Inventaire_Chimiques!$K:$K;$A4;Inventaire_Chimiques!$E:$E;"Eau-reactif"))</f>
        <v/>
      </c>
      <c r="I4">
        <f>SIGNE(NB.SI.ENS(Inventaire_Chimiques!$K:$K;$A4;Inventaire_Chimiques!$E:$E;"Gaz sous pression"))</f>
        <v/>
      </c>
      <c r="J4">
        <f>SIGNE(NB.SI.ENS(Inventaire_Chimiques!$K:$K;$A4;Inventaire_Chimiques!$E:$E;"Combustible"))</f>
        <v/>
      </c>
      <c r="K4">
        <f>SIGNE(NB.SI.ENS(Inventaire_Chimiques!$K:$K;$A4;Inventaire_Chimiques!$E:$E;"Autre"))</f>
        <v/>
      </c>
      <c r="L4">
        <f>SOMMEPROD(PRODUIT.MAT(B4:K4;Matrice_Compat!B16:K25);TRANSPOSE(B4:K4))</f>
        <v/>
      </c>
      <c r="M4">
        <f>SOMMEPROD(PRODUIT.MAT(B4:K4;Matrice_Compat!B28:K37);TRANSPOSE(B4:K4))</f>
        <v/>
      </c>
      <c r="N4">
        <f>SI(L4&gt;0;"Interdit";SI(M4&gt;0;"Séparer";"OK"))</f>
        <v/>
      </c>
    </row>
    <row r="5">
      <c r="A5" t="inlineStr">
        <is>
          <t>BAC-03</t>
        </is>
      </c>
      <c r="B5">
        <f>SIGNE(NB.SI.ENS(Inventaire_Chimiques!$K:$K;$A5;Inventaire_Chimiques!$E:$E;"Inflammable"))</f>
        <v/>
      </c>
      <c r="C5">
        <f>SIGNE(NB.SI.ENS(Inventaire_Chimiques!$K:$K;$A5;Inventaire_Chimiques!$E:$E;"Oxydant"))</f>
        <v/>
      </c>
      <c r="D5">
        <f>SIGNE(NB.SI.ENS(Inventaire_Chimiques!$K:$K;$A5;Inventaire_Chimiques!$E:$E;"Acide"))</f>
        <v/>
      </c>
      <c r="E5">
        <f>SIGNE(NB.SI.ENS(Inventaire_Chimiques!$K:$K;$A5;Inventaire_Chimiques!$E:$E;"Base"))</f>
        <v/>
      </c>
      <c r="F5">
        <f>SIGNE(NB.SI.ENS(Inventaire_Chimiques!$K:$K;$A5;Inventaire_Chimiques!$E:$E;"Toxique"))</f>
        <v/>
      </c>
      <c r="G5">
        <f>SIGNE(NB.SI.ENS(Inventaire_Chimiques!$K:$K;$A5;Inventaire_Chimiques!$E:$E;"Reducteur"))</f>
        <v/>
      </c>
      <c r="H5">
        <f>SIGNE(NB.SI.ENS(Inventaire_Chimiques!$K:$K;$A5;Inventaire_Chimiques!$E:$E;"Eau-reactif"))</f>
        <v/>
      </c>
      <c r="I5">
        <f>SIGNE(NB.SI.ENS(Inventaire_Chimiques!$K:$K;$A5;Inventaire_Chimiques!$E:$E;"Gaz sous pression"))</f>
        <v/>
      </c>
      <c r="J5">
        <f>SIGNE(NB.SI.ENS(Inventaire_Chimiques!$K:$K;$A5;Inventaire_Chimiques!$E:$E;"Combustible"))</f>
        <v/>
      </c>
      <c r="K5">
        <f>SIGNE(NB.SI.ENS(Inventaire_Chimiques!$K:$K;$A5;Inventaire_Chimiques!$E:$E;"Autre"))</f>
        <v/>
      </c>
      <c r="L5">
        <f>SOMMEPROD(PRODUIT.MAT(B5:K5;Matrice_Compat!B16:K25);TRANSPOSE(B5:K5))</f>
        <v/>
      </c>
      <c r="M5">
        <f>SOMMEPROD(PRODUIT.MAT(B5:K5;Matrice_Compat!B28:K37);TRANSPOSE(B5:K5))</f>
        <v/>
      </c>
      <c r="N5">
        <f>SI(L5&gt;0;"Interdit";SI(M5&gt;0;"Séparer";"OK"))</f>
        <v/>
      </c>
    </row>
    <row r="6">
      <c r="A6" t="inlineStr">
        <is>
          <t>BAC-04</t>
        </is>
      </c>
      <c r="B6">
        <f>SIGNE(NB.SI.ENS(Inventaire_Chimiques!$K:$K;$A6;Inventaire_Chimiques!$E:$E;"Inflammable"))</f>
        <v/>
      </c>
      <c r="C6">
        <f>SIGNE(NB.SI.ENS(Inventaire_Chimiques!$K:$K;$A6;Inventaire_Chimiques!$E:$E;"Oxydant"))</f>
        <v/>
      </c>
      <c r="D6">
        <f>SIGNE(NB.SI.ENS(Inventaire_Chimiques!$K:$K;$A6;Inventaire_Chimiques!$E:$E;"Acide"))</f>
        <v/>
      </c>
      <c r="E6">
        <f>SIGNE(NB.SI.ENS(Inventaire_Chimiques!$K:$K;$A6;Inventaire_Chimiques!$E:$E;"Base"))</f>
        <v/>
      </c>
      <c r="F6">
        <f>SIGNE(NB.SI.ENS(Inventaire_Chimiques!$K:$K;$A6;Inventaire_Chimiques!$E:$E;"Toxique"))</f>
        <v/>
      </c>
      <c r="G6">
        <f>SIGNE(NB.SI.ENS(Inventaire_Chimiques!$K:$K;$A6;Inventaire_Chimiques!$E:$E;"Reducteur"))</f>
        <v/>
      </c>
      <c r="H6">
        <f>SIGNE(NB.SI.ENS(Inventaire_Chimiques!$K:$K;$A6;Inventaire_Chimiques!$E:$E;"Eau-reactif"))</f>
        <v/>
      </c>
      <c r="I6">
        <f>SIGNE(NB.SI.ENS(Inventaire_Chimiques!$K:$K;$A6;Inventaire_Chimiques!$E:$E;"Gaz sous pression"))</f>
        <v/>
      </c>
      <c r="J6">
        <f>SIGNE(NB.SI.ENS(Inventaire_Chimiques!$K:$K;$A6;Inventaire_Chimiques!$E:$E;"Combustible"))</f>
        <v/>
      </c>
      <c r="K6">
        <f>SIGNE(NB.SI.ENS(Inventaire_Chimiques!$K:$K;$A6;Inventaire_Chimiques!$E:$E;"Autre"))</f>
        <v/>
      </c>
      <c r="L6">
        <f>SOMMEPROD(PRODUIT.MAT(B6:K6;Matrice_Compat!B16:K25);TRANSPOSE(B6:K6))</f>
        <v/>
      </c>
      <c r="M6">
        <f>SOMMEPROD(PRODUIT.MAT(B6:K6;Matrice_Compat!B28:K37);TRANSPOSE(B6:K6))</f>
        <v/>
      </c>
      <c r="N6">
        <f>SI(L6&gt;0;"Interdit";SI(M6&gt;0;"Séparer";"OK"))</f>
        <v/>
      </c>
    </row>
    <row r="7">
      <c r="A7" t="inlineStr">
        <is>
          <t>BAC-05</t>
        </is>
      </c>
      <c r="B7">
        <f>SIGNE(NB.SI.ENS(Inventaire_Chimiques!$K:$K;$A7;Inventaire_Chimiques!$E:$E;"Inflammable"))</f>
        <v/>
      </c>
      <c r="C7">
        <f>SIGNE(NB.SI.ENS(Inventaire_Chimiques!$K:$K;$A7;Inventaire_Chimiques!$E:$E;"Oxydant"))</f>
        <v/>
      </c>
      <c r="D7">
        <f>SIGNE(NB.SI.ENS(Inventaire_Chimiques!$K:$K;$A7;Inventaire_Chimiques!$E:$E;"Acide"))</f>
        <v/>
      </c>
      <c r="E7">
        <f>SIGNE(NB.SI.ENS(Inventaire_Chimiques!$K:$K;$A7;Inventaire_Chimiques!$E:$E;"Base"))</f>
        <v/>
      </c>
      <c r="F7">
        <f>SIGNE(NB.SI.ENS(Inventaire_Chimiques!$K:$K;$A7;Inventaire_Chimiques!$E:$E;"Toxique"))</f>
        <v/>
      </c>
      <c r="G7">
        <f>SIGNE(NB.SI.ENS(Inventaire_Chimiques!$K:$K;$A7;Inventaire_Chimiques!$E:$E;"Reducteur"))</f>
        <v/>
      </c>
      <c r="H7">
        <f>SIGNE(NB.SI.ENS(Inventaire_Chimiques!$K:$K;$A7;Inventaire_Chimiques!$E:$E;"Eau-reactif"))</f>
        <v/>
      </c>
      <c r="I7">
        <f>SIGNE(NB.SI.ENS(Inventaire_Chimiques!$K:$K;$A7;Inventaire_Chimiques!$E:$E;"Gaz sous pression"))</f>
        <v/>
      </c>
      <c r="J7">
        <f>SIGNE(NB.SI.ENS(Inventaire_Chimiques!$K:$K;$A7;Inventaire_Chimiques!$E:$E;"Combustible"))</f>
        <v/>
      </c>
      <c r="K7">
        <f>SIGNE(NB.SI.ENS(Inventaire_Chimiques!$K:$K;$A7;Inventaire_Chimiques!$E:$E;"Autre"))</f>
        <v/>
      </c>
      <c r="L7">
        <f>SOMMEPROD(PRODUIT.MAT(B7:K7;Matrice_Compat!B16:K25);TRANSPOSE(B7:K7))</f>
        <v/>
      </c>
      <c r="M7">
        <f>SOMMEPROD(PRODUIT.MAT(B7:K7;Matrice_Compat!B28:K37);TRANSPOSE(B7:K7))</f>
        <v/>
      </c>
      <c r="N7">
        <f>SI(L7&gt;0;"Interdit";SI(M7&gt;0;"Séparer";"OK"))</f>
        <v/>
      </c>
    </row>
    <row r="8">
      <c r="A8" t="inlineStr">
        <is>
          <t>BAC-06</t>
        </is>
      </c>
      <c r="B8">
        <f>SIGNE(NB.SI.ENS(Inventaire_Chimiques!$K:$K;$A8;Inventaire_Chimiques!$E:$E;"Inflammable"))</f>
        <v/>
      </c>
      <c r="C8">
        <f>SIGNE(NB.SI.ENS(Inventaire_Chimiques!$K:$K;$A8;Inventaire_Chimiques!$E:$E;"Oxydant"))</f>
        <v/>
      </c>
      <c r="D8">
        <f>SIGNE(NB.SI.ENS(Inventaire_Chimiques!$K:$K;$A8;Inventaire_Chimiques!$E:$E;"Acide"))</f>
        <v/>
      </c>
      <c r="E8">
        <f>SIGNE(NB.SI.ENS(Inventaire_Chimiques!$K:$K;$A8;Inventaire_Chimiques!$E:$E;"Base"))</f>
        <v/>
      </c>
      <c r="F8">
        <f>SIGNE(NB.SI.ENS(Inventaire_Chimiques!$K:$K;$A8;Inventaire_Chimiques!$E:$E;"Toxique"))</f>
        <v/>
      </c>
      <c r="G8">
        <f>SIGNE(NB.SI.ENS(Inventaire_Chimiques!$K:$K;$A8;Inventaire_Chimiques!$E:$E;"Reducteur"))</f>
        <v/>
      </c>
      <c r="H8">
        <f>SIGNE(NB.SI.ENS(Inventaire_Chimiques!$K:$K;$A8;Inventaire_Chimiques!$E:$E;"Eau-reactif"))</f>
        <v/>
      </c>
      <c r="I8">
        <f>SIGNE(NB.SI.ENS(Inventaire_Chimiques!$K:$K;$A8;Inventaire_Chimiques!$E:$E;"Gaz sous pression"))</f>
        <v/>
      </c>
      <c r="J8">
        <f>SIGNE(NB.SI.ENS(Inventaire_Chimiques!$K:$K;$A8;Inventaire_Chimiques!$E:$E;"Combustible"))</f>
        <v/>
      </c>
      <c r="K8">
        <f>SIGNE(NB.SI.ENS(Inventaire_Chimiques!$K:$K;$A8;Inventaire_Chimiques!$E:$E;"Autre"))</f>
        <v/>
      </c>
      <c r="L8">
        <f>SOMMEPROD(PRODUIT.MAT(B8:K8;Matrice_Compat!B16:K25);TRANSPOSE(B8:K8))</f>
        <v/>
      </c>
      <c r="M8">
        <f>SOMMEPROD(PRODUIT.MAT(B8:K8;Matrice_Compat!B28:K37);TRANSPOSE(B8:K8))</f>
        <v/>
      </c>
      <c r="N8">
        <f>SI(L8&gt;0;"Interdit";SI(M8&gt;0;"Séparer";"OK"))</f>
        <v/>
      </c>
    </row>
    <row r="9">
      <c r="A9" t="inlineStr">
        <is>
          <t>BAC-07</t>
        </is>
      </c>
      <c r="B9">
        <f>SIGNE(NB.SI.ENS(Inventaire_Chimiques!$K:$K;$A9;Inventaire_Chimiques!$E:$E;"Inflammable"))</f>
        <v/>
      </c>
      <c r="C9">
        <f>SIGNE(NB.SI.ENS(Inventaire_Chimiques!$K:$K;$A9;Inventaire_Chimiques!$E:$E;"Oxydant"))</f>
        <v/>
      </c>
      <c r="D9">
        <f>SIGNE(NB.SI.ENS(Inventaire_Chimiques!$K:$K;$A9;Inventaire_Chimiques!$E:$E;"Acide"))</f>
        <v/>
      </c>
      <c r="E9">
        <f>SIGNE(NB.SI.ENS(Inventaire_Chimiques!$K:$K;$A9;Inventaire_Chimiques!$E:$E;"Base"))</f>
        <v/>
      </c>
      <c r="F9">
        <f>SIGNE(NB.SI.ENS(Inventaire_Chimiques!$K:$K;$A9;Inventaire_Chimiques!$E:$E;"Toxique"))</f>
        <v/>
      </c>
      <c r="G9">
        <f>SIGNE(NB.SI.ENS(Inventaire_Chimiques!$K:$K;$A9;Inventaire_Chimiques!$E:$E;"Reducteur"))</f>
        <v/>
      </c>
      <c r="H9">
        <f>SIGNE(NB.SI.ENS(Inventaire_Chimiques!$K:$K;$A9;Inventaire_Chimiques!$E:$E;"Eau-reactif"))</f>
        <v/>
      </c>
      <c r="I9">
        <f>SIGNE(NB.SI.ENS(Inventaire_Chimiques!$K:$K;$A9;Inventaire_Chimiques!$E:$E;"Gaz sous pression"))</f>
        <v/>
      </c>
      <c r="J9">
        <f>SIGNE(NB.SI.ENS(Inventaire_Chimiques!$K:$K;$A9;Inventaire_Chimiques!$E:$E;"Combustible"))</f>
        <v/>
      </c>
      <c r="K9">
        <f>SIGNE(NB.SI.ENS(Inventaire_Chimiques!$K:$K;$A9;Inventaire_Chimiques!$E:$E;"Autre"))</f>
        <v/>
      </c>
      <c r="L9">
        <f>SOMMEPROD(PRODUIT.MAT(B9:K9;Matrice_Compat!B16:K25);TRANSPOSE(B9:K9))</f>
        <v/>
      </c>
      <c r="M9">
        <f>SOMMEPROD(PRODUIT.MAT(B9:K9;Matrice_Compat!B28:K37);TRANSPOSE(B9:K9))</f>
        <v/>
      </c>
      <c r="N9">
        <f>SI(L9&gt;0;"Interdit";SI(M9&gt;0;"Séparer";"OK"))</f>
        <v/>
      </c>
    </row>
    <row r="10">
      <c r="A10" t="inlineStr">
        <is>
          <t>BAC-08</t>
        </is>
      </c>
      <c r="B10">
        <f>SIGNE(NB.SI.ENS(Inventaire_Chimiques!$K:$K;$A10;Inventaire_Chimiques!$E:$E;"Inflammable"))</f>
        <v/>
      </c>
      <c r="C10">
        <f>SIGNE(NB.SI.ENS(Inventaire_Chimiques!$K:$K;$A10;Inventaire_Chimiques!$E:$E;"Oxydant"))</f>
        <v/>
      </c>
      <c r="D10">
        <f>SIGNE(NB.SI.ENS(Inventaire_Chimiques!$K:$K;$A10;Inventaire_Chimiques!$E:$E;"Acide"))</f>
        <v/>
      </c>
      <c r="E10">
        <f>SIGNE(NB.SI.ENS(Inventaire_Chimiques!$K:$K;$A10;Inventaire_Chimiques!$E:$E;"Base"))</f>
        <v/>
      </c>
      <c r="F10">
        <f>SIGNE(NB.SI.ENS(Inventaire_Chimiques!$K:$K;$A10;Inventaire_Chimiques!$E:$E;"Toxique"))</f>
        <v/>
      </c>
      <c r="G10">
        <f>SIGNE(NB.SI.ENS(Inventaire_Chimiques!$K:$K;$A10;Inventaire_Chimiques!$E:$E;"Reducteur"))</f>
        <v/>
      </c>
      <c r="H10">
        <f>SIGNE(NB.SI.ENS(Inventaire_Chimiques!$K:$K;$A10;Inventaire_Chimiques!$E:$E;"Eau-reactif"))</f>
        <v/>
      </c>
      <c r="I10">
        <f>SIGNE(NB.SI.ENS(Inventaire_Chimiques!$K:$K;$A10;Inventaire_Chimiques!$E:$E;"Gaz sous pression"))</f>
        <v/>
      </c>
      <c r="J10">
        <f>SIGNE(NB.SI.ENS(Inventaire_Chimiques!$K:$K;$A10;Inventaire_Chimiques!$E:$E;"Combustible"))</f>
        <v/>
      </c>
      <c r="K10">
        <f>SIGNE(NB.SI.ENS(Inventaire_Chimiques!$K:$K;$A10;Inventaire_Chimiques!$E:$E;"Autre"))</f>
        <v/>
      </c>
      <c r="L10">
        <f>SOMMEPROD(PRODUIT.MAT(B10:K10;Matrice_Compat!B16:K25);TRANSPOSE(B10:K10))</f>
        <v/>
      </c>
      <c r="M10">
        <f>SOMMEPROD(PRODUIT.MAT(B10:K10;Matrice_Compat!B28:K37);TRANSPOSE(B10:K10))</f>
        <v/>
      </c>
      <c r="N10">
        <f>SI(L10&gt;0;"Interdit";SI(M10&gt;0;"Séparer";"OK"))</f>
        <v/>
      </c>
    </row>
    <row r="11">
      <c r="A11" t="inlineStr">
        <is>
          <t>BAC-09</t>
        </is>
      </c>
      <c r="B11">
        <f>SIGNE(NB.SI.ENS(Inventaire_Chimiques!$K:$K;$A11;Inventaire_Chimiques!$E:$E;"Inflammable"))</f>
        <v/>
      </c>
      <c r="C11">
        <f>SIGNE(NB.SI.ENS(Inventaire_Chimiques!$K:$K;$A11;Inventaire_Chimiques!$E:$E;"Oxydant"))</f>
        <v/>
      </c>
      <c r="D11">
        <f>SIGNE(NB.SI.ENS(Inventaire_Chimiques!$K:$K;$A11;Inventaire_Chimiques!$E:$E;"Acide"))</f>
        <v/>
      </c>
      <c r="E11">
        <f>SIGNE(NB.SI.ENS(Inventaire_Chimiques!$K:$K;$A11;Inventaire_Chimiques!$E:$E;"Base"))</f>
        <v/>
      </c>
      <c r="F11">
        <f>SIGNE(NB.SI.ENS(Inventaire_Chimiques!$K:$K;$A11;Inventaire_Chimiques!$E:$E;"Toxique"))</f>
        <v/>
      </c>
      <c r="G11">
        <f>SIGNE(NB.SI.ENS(Inventaire_Chimiques!$K:$K;$A11;Inventaire_Chimiques!$E:$E;"Reducteur"))</f>
        <v/>
      </c>
      <c r="H11">
        <f>SIGNE(NB.SI.ENS(Inventaire_Chimiques!$K:$K;$A11;Inventaire_Chimiques!$E:$E;"Eau-reactif"))</f>
        <v/>
      </c>
      <c r="I11">
        <f>SIGNE(NB.SI.ENS(Inventaire_Chimiques!$K:$K;$A11;Inventaire_Chimiques!$E:$E;"Gaz sous pression"))</f>
        <v/>
      </c>
      <c r="J11">
        <f>SIGNE(NB.SI.ENS(Inventaire_Chimiques!$K:$K;$A11;Inventaire_Chimiques!$E:$E;"Combustible"))</f>
        <v/>
      </c>
      <c r="K11">
        <f>SIGNE(NB.SI.ENS(Inventaire_Chimiques!$K:$K;$A11;Inventaire_Chimiques!$E:$E;"Autre"))</f>
        <v/>
      </c>
      <c r="L11">
        <f>SOMMEPROD(PRODUIT.MAT(B11:K11;Matrice_Compat!B16:K25);TRANSPOSE(B11:K11))</f>
        <v/>
      </c>
      <c r="M11">
        <f>SOMMEPROD(PRODUIT.MAT(B11:K11;Matrice_Compat!B28:K37);TRANSPOSE(B11:K11))</f>
        <v/>
      </c>
      <c r="N11">
        <f>SI(L11&gt;0;"Interdit";SI(M11&gt;0;"Séparer";"OK"))</f>
        <v/>
      </c>
    </row>
    <row r="12">
      <c r="A12" t="inlineStr">
        <is>
          <t>BAC-10</t>
        </is>
      </c>
      <c r="B12">
        <f>SIGNE(NB.SI.ENS(Inventaire_Chimiques!$K:$K;$A12;Inventaire_Chimiques!$E:$E;"Inflammable"))</f>
        <v/>
      </c>
      <c r="C12">
        <f>SIGNE(NB.SI.ENS(Inventaire_Chimiques!$K:$K;$A12;Inventaire_Chimiques!$E:$E;"Oxydant"))</f>
        <v/>
      </c>
      <c r="D12">
        <f>SIGNE(NB.SI.ENS(Inventaire_Chimiques!$K:$K;$A12;Inventaire_Chimiques!$E:$E;"Acide"))</f>
        <v/>
      </c>
      <c r="E12">
        <f>SIGNE(NB.SI.ENS(Inventaire_Chimiques!$K:$K;$A12;Inventaire_Chimiques!$E:$E;"Base"))</f>
        <v/>
      </c>
      <c r="F12">
        <f>SIGNE(NB.SI.ENS(Inventaire_Chimiques!$K:$K;$A12;Inventaire_Chimiques!$E:$E;"Toxique"))</f>
        <v/>
      </c>
      <c r="G12">
        <f>SIGNE(NB.SI.ENS(Inventaire_Chimiques!$K:$K;$A12;Inventaire_Chimiques!$E:$E;"Reducteur"))</f>
        <v/>
      </c>
      <c r="H12">
        <f>SIGNE(NB.SI.ENS(Inventaire_Chimiques!$K:$K;$A12;Inventaire_Chimiques!$E:$E;"Eau-reactif"))</f>
        <v/>
      </c>
      <c r="I12">
        <f>SIGNE(NB.SI.ENS(Inventaire_Chimiques!$K:$K;$A12;Inventaire_Chimiques!$E:$E;"Gaz sous pression"))</f>
        <v/>
      </c>
      <c r="J12">
        <f>SIGNE(NB.SI.ENS(Inventaire_Chimiques!$K:$K;$A12;Inventaire_Chimiques!$E:$E;"Combustible"))</f>
        <v/>
      </c>
      <c r="K12">
        <f>SIGNE(NB.SI.ENS(Inventaire_Chimiques!$K:$K;$A12;Inventaire_Chimiques!$E:$E;"Autre"))</f>
        <v/>
      </c>
      <c r="L12">
        <f>SOMMEPROD(PRODUIT.MAT(B12:K12;Matrice_Compat!B16:K25);TRANSPOSE(B12:K12))</f>
        <v/>
      </c>
      <c r="M12">
        <f>SOMMEPROD(PRODUIT.MAT(B12:K12;Matrice_Compat!B28:K37);TRANSPOSE(B12:K12))</f>
        <v/>
      </c>
      <c r="N12">
        <f>SI(L12&gt;0;"Interdit";SI(M12&gt;0;"Séparer";"OK"))</f>
        <v/>
      </c>
    </row>
  </sheetData>
  <mergeCells count="1">
    <mergeCell ref="A1:H1"/>
  </mergeCells>
  <conditionalFormatting sqref="N3:N200">
    <cfRule type="expression" priority="1" dxfId="0">
      <formula>N3="Interdit"</formula>
    </cfRule>
    <cfRule type="expression" priority="2" dxfId="1">
      <formula>N3="Séparer"</formula>
    </cfRule>
    <cfRule type="expression" priority="3" dxfId="2">
      <formula>N3="OK"</formula>
    </cfRule>
  </conditionalFormatting>
  <pageMargins left="0.75" right="0.75" top="1" bottom="1" header="0.5" footer="0.5"/>
  <tableParts count="1">
    <tablePart xmlns:r="http://schemas.openxmlformats.org/officeDocument/2006/relationships" r:id="rId1"/>
  </tableParts>
</worksheet>
</file>

<file path=xl/worksheets/sheet7.xml><?xml version="1.0" encoding="utf-8"?>
<worksheet xmlns="http://schemas.openxmlformats.org/spreadsheetml/2006/main">
  <sheetPr>
    <outlinePr summaryBelow="1" summaryRight="1"/>
    <pageSetUpPr/>
  </sheetPr>
  <dimension ref="A1:N8"/>
  <sheetViews>
    <sheetView workbookViewId="0">
      <selection activeCell="A1" sqref="A1"/>
    </sheetView>
  </sheetViews>
  <sheetFormatPr baseColWidth="8" defaultRowHeight="15"/>
  <cols>
    <col width="36" customWidth="1" min="1" max="1"/>
    <col width="22" customWidth="1" min="2" max="2"/>
    <col width="40" customWidth="1" min="3" max="3"/>
  </cols>
  <sheetData>
    <row r="1" ht="28" customHeight="1">
      <c r="A1" s="14" t="inlineStr">
        <is>
          <t>Tableau de bord — Stockage produits chimiques</t>
        </is>
      </c>
    </row>
    <row r="2">
      <c r="A2" s="15" t="inlineStr">
        <is>
          <t>Indicateur</t>
        </is>
      </c>
      <c r="B2" s="15" t="inlineStr">
        <is>
          <t>Valeur</t>
        </is>
      </c>
      <c r="C2" s="15" t="inlineStr">
        <is>
          <t>Note</t>
        </is>
      </c>
      <c r="D2" s="15" t="n"/>
      <c r="E2" s="15" t="n"/>
      <c r="F2" s="15" t="n"/>
      <c r="G2" s="15" t="n"/>
      <c r="H2" s="15" t="n"/>
      <c r="I2" s="15" t="n"/>
      <c r="J2" s="15" t="n"/>
      <c r="K2" s="15" t="n"/>
      <c r="L2" s="15" t="n"/>
      <c r="M2" s="15" t="n"/>
      <c r="N2" s="15" t="n"/>
    </row>
    <row r="3">
      <c r="A3" t="inlineStr">
        <is>
          <t>Conflits INTERDIT (nb bacs)</t>
        </is>
      </c>
      <c r="B3">
        <f>NB.SI(Audit_Compat!N:N;"Interdit")</f>
        <v/>
      </c>
      <c r="C3" t="inlineStr">
        <is>
          <t>À traiter immédiatement</t>
        </is>
      </c>
    </row>
    <row r="4">
      <c r="A4" t="inlineStr">
        <is>
          <t>Cas SÉPARER (nb bacs)</t>
        </is>
      </c>
      <c r="B4">
        <f>NB.SI(Audit_Compat!N:N;"Séparer")</f>
        <v/>
      </c>
      <c r="C4" t="inlineStr">
        <is>
          <t>Séparation/armoire dédiée</t>
        </is>
      </c>
    </row>
    <row r="5">
      <c r="A5" t="inlineStr">
        <is>
          <t>Bacs &lt; cible rétention (nb)</t>
        </is>
      </c>
      <c r="B5">
        <f>NB.SI(Retention_Bacs!H:H;"À renforcer")</f>
        <v/>
      </c>
      <c r="C5" t="inlineStr">
        <is>
          <t>Augmenter volume utile ou réduire stock</t>
        </is>
      </c>
    </row>
    <row r="6">
      <c r="A6" t="inlineStr">
        <is>
          <t>FDS à obtenir (nb)</t>
        </is>
      </c>
      <c r="B6">
        <f>NB.SI(Inventaire_Chimiques!R:R;"À obtenir")</f>
        <v/>
      </c>
      <c r="C6" t="inlineStr">
        <is>
          <t>Demande fournisseur en cours</t>
        </is>
      </c>
    </row>
    <row r="7">
      <c r="A7" t="inlineStr">
        <is>
          <t>FDS rappel échus (nb)</t>
        </is>
      </c>
      <c r="B7">
        <f>NB.SI.ENS(Inventaire_Chimiques!T:T;"&lt;&gt;";Inventaire_Chimiques!T:T;"&lt;"&amp;AUJOURDHUI())</f>
        <v/>
      </c>
      <c r="C7" t="inlineStr">
        <is>
          <t>Revue périodique</t>
        </is>
      </c>
    </row>
    <row r="8">
      <c r="A8" t="inlineStr">
        <is>
          <t>Volume total (L) — Magasin chimie</t>
        </is>
      </c>
      <c r="B8">
        <f>SOMME.SI(Inventaire_Chimiques!J:J;"Magasin chimie";Inventaire_Chimiques!I:I)</f>
        <v/>
      </c>
      <c r="C8" t="inlineStr">
        <is>
          <t>Exemple par zone</t>
        </is>
      </c>
    </row>
  </sheetData>
  <mergeCells count="1">
    <mergeCell ref="A1:N1"/>
  </mergeCells>
  <pageMargins left="0.75" right="0.75" top="1" bottom="1" header="0.5" footer="0.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2025-08-19T01:19:21Z</dcterms:created>
  <dcterms:modified xmlns:dcterms="http://purl.org/dc/terms/" xmlns:xsi="http://www.w3.org/2001/XMLSchema-instance" xsi:type="dcterms:W3CDTF">2025-08-19T01:19:21Z</dcterms:modified>
</cp:coreProperties>
</file>