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_Mode_Emploi" sheetId="1" state="visible" r:id="rId1"/>
    <sheet xmlns:r="http://schemas.openxmlformats.org/officeDocument/2006/relationships" name="PESTEL_Params" sheetId="2" state="visible" r:id="rId2"/>
    <sheet xmlns:r="http://schemas.openxmlformats.org/officeDocument/2006/relationships" name="PESTEL_Register" sheetId="3" state="visible" r:id="rId3"/>
    <sheet xmlns:r="http://schemas.openxmlformats.org/officeDocument/2006/relationships" name="Actions_PESTEL" sheetId="4" state="visible" r:id="rId4"/>
    <sheet xmlns:r="http://schemas.openxmlformats.org/officeDocument/2006/relationships" name="PESTEL_Matrix" sheetId="5" state="visible" r:id="rId5"/>
    <sheet xmlns:r="http://schemas.openxmlformats.org/officeDocument/2006/relationships" name="Dashboard" sheetId="6" state="visible" r:id="rId6"/>
    <sheet xmlns:r="http://schemas.openxmlformats.org/officeDocument/2006/relationships" name="Flux_PESTEL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00000"/>
      <sz val="12"/>
    </font>
    <font>
      <b val="1"/>
    </font>
  </fonts>
  <fills count="9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2f2f2"/>
      </patternFill>
    </fill>
    <fill>
      <patternFill patternType="solid">
        <fgColor rgb="00ddebf7"/>
      </patternFill>
    </fill>
    <fill>
      <patternFill patternType="solid">
        <fgColor rgb="00fff2cc"/>
      </patternFill>
    </fill>
    <fill>
      <patternFill patternType="solid">
        <fgColor rgb="00f4b183"/>
      </patternFill>
    </fill>
    <fill>
      <patternFill patternType="solid">
        <fgColor rgb="00e2f0d9"/>
      </patternFill>
    </fill>
    <fill>
      <patternFill patternType="solid">
        <fgColor rgb="00c6efce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0" fillId="0" borderId="0" applyAlignment="1" pivotButton="0" quotePrefix="0" xfId="0">
      <alignment horizontal="left" vertical="center" wrapText="1"/>
    </xf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2" fillId="0" borderId="0" pivotButton="0" quotePrefix="0" xfId="0"/>
    <xf numFmtId="0" fontId="0" fillId="0" borderId="1" applyAlignment="1" pivotButton="0" quotePrefix="0" xfId="0">
      <alignment horizontal="left" vertical="center" wrapText="1"/>
    </xf>
    <xf numFmtId="0" fontId="0" fillId="4" borderId="1" pivotButton="0" quotePrefix="0" xfId="0"/>
    <xf numFmtId="0" fontId="0" fillId="5" borderId="1" pivotButton="0" quotePrefix="0" xfId="0"/>
    <xf numFmtId="0" fontId="0" fillId="6" borderId="1" pivotButton="0" quotePrefix="0" xfId="0"/>
    <xf numFmtId="0" fontId="0" fillId="7" borderId="1" pivotButton="0" quotePrefix="0" xfId="0"/>
    <xf numFmtId="0" fontId="0" fillId="8" borderId="1" pivotButton="0" quotePrefix="0" xfId="0"/>
    <xf numFmtId="0" fontId="0" fillId="3" borderId="1" pivotButton="0" quotePrefix="0" xfId="0"/>
    <xf numFmtId="164" fontId="0" fillId="0" borderId="1" pivotButton="0" quotePrefix="0" xfId="0"/>
    <xf numFmtId="1" fontId="0" fillId="0" borderId="1" pivotButton="0" quotePrefix="0" xfId="0"/>
    <xf numFmtId="9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left" vertical="center" wrapText="1"/>
    </xf>
    <xf numFmtId="0" fontId="3" fillId="4" borderId="1" pivotButton="0" quotePrefix="0" xfId="0"/>
    <xf numFmtId="1" fontId="0" fillId="0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2" fillId="7" borderId="1" applyAlignment="1" pivotButton="0" quotePrefix="0" xfId="0">
      <alignment horizontal="center" vertical="center" wrapText="1"/>
    </xf>
    <xf numFmtId="0" fontId="2" fillId="6" borderId="1" applyAlignment="1" pivotButton="0" quotePrefix="0" xfId="0">
      <alignment horizontal="center" vertical="center" wrapText="1"/>
    </xf>
    <xf numFmtId="0" fontId="2" fillId="8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2" fillId="4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4">
    <dxf>
      <fill>
        <patternFill patternType="solid">
          <fgColor rgb="00f8cbad"/>
        </patternFill>
      </fill>
    </dxf>
    <dxf>
      <fill>
        <patternFill patternType="solid">
          <fgColor rgb="00f4b183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e2f0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Factors by Domain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'Dashboard'!$D$4:$D$9</f>
            </numRef>
          </cat>
          <val>
            <numRef>
              <f>'Dashboard'!$E$4:$E$9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Domain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Factors by Priority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'Dashboard'!I3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'Dashboard'!$H$4:$H$7</f>
            </numRef>
          </cat>
          <val>
            <numRef>
              <f>'Dashboard'!$I$4:$I$7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Priority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9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9</row>
      <rowOff>0</rowOff>
    </from>
    <ext cx="7200000" cy="43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PESTEL" displayName="tblPESTEL" ref="A2:AA26" headerRowCount="1">
  <autoFilter ref="A2:AA26"/>
  <tableColumns count="27">
    <tableColumn id="1" name="ID"/>
    <tableColumn id="2" name="Domain"/>
    <tableColumn id="3" name="Factor Title"/>
    <tableColumn id="4" name="Description"/>
    <tableColumn id="5" name="Evidence/Source"/>
    <tableColumn id="6" name="Geography"/>
    <tableColumn id="7" name="Affected Units"/>
    <tableColumn id="8" name="Time Horizon"/>
    <tableColumn id="9" name="Trend"/>
    <tableColumn id="10" name="Direction"/>
    <tableColumn id="11" name="Impact (1-5)"/>
    <tableColumn id="12" name="Urgency (1-5)"/>
    <tableColumn id="13" name="Score"/>
    <tableColumn id="14" name="Priority Level"/>
    <tableColumn id="15" name="Owner"/>
    <tableColumn id="16" name="Strategy"/>
    <tableColumn id="17" name="Action IDs"/>
    <tableColumn id="18" name="Due Date"/>
    <tableColumn id="19" name="Status"/>
    <tableColumn id="20" name="Review Frequency"/>
    <tableColumn id="21" name="Next Review (auto)"/>
    <tableColumn id="22" name="Days to Review"/>
    <tableColumn id="23" name="Escalate?"/>
    <tableColumn id="24" name="Last Updated"/>
    <tableColumn id="25" name="Notes"/>
    <tableColumn id="26" name="Code"/>
    <tableColumn id="27" name="Age (days)"/>
  </tableColumns>
  <tableStyleInfo name="TableStyleMedium9" showRowStripes="1"/>
</table>
</file>

<file path=xl/tables/table2.xml><?xml version="1.0" encoding="utf-8"?>
<table xmlns="http://schemas.openxmlformats.org/spreadsheetml/2006/main" id="2" name="tblPESTEL_Actions" displayName="tblPESTEL_Actions" ref="A2:M17" headerRowCount="1">
  <autoFilter ref="A2:M17"/>
  <tableColumns count="13">
    <tableColumn id="1" name="Action ID"/>
    <tableColumn id="2" name="Factor ID"/>
    <tableColumn id="3" name="Action"/>
    <tableColumn id="4" name="Owner"/>
    <tableColumn id="5" name="Priority"/>
    <tableColumn id="6" name="Due Date"/>
    <tableColumn id="7" name="% Complete"/>
    <tableColumn id="8" name="Status"/>
    <tableColumn id="9" name="Comment"/>
    <tableColumn id="10" name="Closed Date"/>
    <tableColumn id="11" name="Days Remaining"/>
    <tableColumn id="12" name="Overdue?"/>
    <tableColumn id="13" name="Health"/>
  </tableColumns>
  <tableStyleInfo name="TableStyleMedium4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MODE D'EMPLOI — Modèle Excel PESTEL (Automatisé)
1) Ajustez les seuils dans 'PESTEL_Params'.
2) Renseignez/éditez les facteurs dans 'PESTEL_Register'.
3) Ajoutez les actions dans 'Actions_PESTEL'.
4) Consultez 'PESTEL_Matrix' et 'Dashboard'.
5) Référez-vous à 'Flux_PESTEL' pour la descendance des flux.
Automatisations : Score = Impact×Urgency, Priorité auto (Low/Med/High/Critical), Code par domaine (P/Ec/S/T/En/L), Prochaine revue auto (fréquence), jours restants, escalade si High/Critical non clos, surlignage retards.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60" customWidth="1" min="3" max="3"/>
  </cols>
  <sheetData>
    <row r="1">
      <c r="A1" s="2" t="inlineStr">
        <is>
          <t>PESTEL Parameters — Thresholds for Priority</t>
        </is>
      </c>
    </row>
    <row r="2">
      <c r="A2" s="3" t="inlineStr">
        <is>
          <t>Priority Level</t>
        </is>
      </c>
      <c r="B2" s="3" t="inlineStr">
        <is>
          <t>Max Score</t>
        </is>
      </c>
      <c r="C2" s="3" t="inlineStr">
        <is>
          <t>Comment</t>
        </is>
      </c>
    </row>
    <row r="3">
      <c r="A3" s="4" t="inlineStr">
        <is>
          <t>Low</t>
        </is>
      </c>
      <c r="B3" s="4" t="n">
        <v>6</v>
      </c>
      <c r="C3" s="4" t="inlineStr">
        <is>
          <t>Scores ≤ this are Low</t>
        </is>
      </c>
    </row>
    <row r="4">
      <c r="A4" s="4" t="inlineStr">
        <is>
          <t>Medium</t>
        </is>
      </c>
      <c r="B4" s="4" t="n">
        <v>12</v>
      </c>
      <c r="C4" s="4" t="inlineStr">
        <is>
          <t>Scores ≤ this are Medium</t>
        </is>
      </c>
    </row>
    <row r="5">
      <c r="A5" s="4" t="inlineStr">
        <is>
          <t>High</t>
        </is>
      </c>
      <c r="B5" s="4" t="n">
        <v>19</v>
      </c>
      <c r="C5" s="4" t="inlineStr">
        <is>
          <t>Scores ≤ this are High</t>
        </is>
      </c>
    </row>
    <row r="6">
      <c r="A6" s="4" t="inlineStr">
        <is>
          <t>Critical</t>
        </is>
      </c>
      <c r="B6" s="4" t="n">
        <v>25</v>
      </c>
      <c r="C6" s="4" t="inlineStr">
        <is>
          <t>Above High is Critical (max 25)</t>
        </is>
      </c>
    </row>
    <row r="7">
      <c r="A7" s="5" t="inlineStr">
        <is>
          <t>Domains legend</t>
        </is>
      </c>
    </row>
    <row r="8">
      <c r="A8" s="6" t="inlineStr">
        <is>
          <t>Political</t>
        </is>
      </c>
      <c r="B8" s="7" t="inlineStr"/>
    </row>
    <row r="9">
      <c r="A9" s="6" t="inlineStr">
        <is>
          <t>Economic</t>
        </is>
      </c>
      <c r="B9" s="8" t="inlineStr"/>
    </row>
    <row r="10">
      <c r="A10" s="6" t="inlineStr">
        <is>
          <t>Social</t>
        </is>
      </c>
      <c r="B10" s="9" t="inlineStr"/>
    </row>
    <row r="11">
      <c r="A11" s="6" t="inlineStr">
        <is>
          <t>Technological</t>
        </is>
      </c>
      <c r="B11" s="10" t="inlineStr"/>
    </row>
    <row r="12">
      <c r="A12" s="6" t="inlineStr">
        <is>
          <t>Environmental</t>
        </is>
      </c>
      <c r="B12" s="11" t="inlineStr"/>
    </row>
    <row r="13">
      <c r="A13" s="6" t="inlineStr">
        <is>
          <t>Legal</t>
        </is>
      </c>
      <c r="B13" s="12" t="inlineStr"/>
    </row>
  </sheetData>
  <mergeCells count="1">
    <mergeCell ref="A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A2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16" customWidth="1" min="2" max="2"/>
    <col width="30" customWidth="1" min="3" max="3"/>
    <col width="36" customWidth="1" min="4" max="4"/>
    <col width="26" customWidth="1" min="5" max="5"/>
    <col width="16" customWidth="1" min="6" max="6"/>
    <col width="20" customWidth="1" min="7" max="7"/>
    <col width="12" customWidth="1" min="8" max="8"/>
    <col width="10" customWidth="1" min="9" max="9"/>
    <col width="12" customWidth="1" min="10" max="10"/>
    <col width="12" customWidth="1" min="11" max="11"/>
    <col width="12" customWidth="1" min="12" max="12"/>
    <col width="10" customWidth="1" min="13" max="13"/>
    <col width="14" customWidth="1" min="14" max="14"/>
    <col width="18" customWidth="1" min="15" max="15"/>
    <col width="14" customWidth="1" min="16" max="16"/>
    <col width="16" customWidth="1" min="17" max="17"/>
    <col width="14" customWidth="1" min="18" max="18"/>
    <col width="16" customWidth="1" min="19" max="19"/>
    <col width="16" customWidth="1" min="20" max="20"/>
    <col width="16" customWidth="1" min="21" max="21"/>
    <col width="14" customWidth="1" min="22" max="22"/>
    <col width="12" customWidth="1" min="23" max="23"/>
    <col width="14" customWidth="1" min="24" max="24"/>
    <col width="24" customWidth="1" min="25" max="25"/>
    <col width="14" customWidth="1" min="26" max="26"/>
    <col width="12" customWidth="1" min="27" max="27"/>
  </cols>
  <sheetData>
    <row r="1">
      <c r="A1" s="2" t="inlineStr">
        <is>
          <t>PESTEL Register — Scanning, Assessment, Prioritization &amp; Monitoring</t>
        </is>
      </c>
    </row>
    <row r="2">
      <c r="A2" s="3" t="inlineStr">
        <is>
          <t>ID</t>
        </is>
      </c>
      <c r="B2" s="3" t="inlineStr">
        <is>
          <t>Domain</t>
        </is>
      </c>
      <c r="C2" s="3" t="inlineStr">
        <is>
          <t>Factor Title</t>
        </is>
      </c>
      <c r="D2" s="3" t="inlineStr">
        <is>
          <t>Description</t>
        </is>
      </c>
      <c r="E2" s="3" t="inlineStr">
        <is>
          <t>Evidence/Source</t>
        </is>
      </c>
      <c r="F2" s="3" t="inlineStr">
        <is>
          <t>Geography</t>
        </is>
      </c>
      <c r="G2" s="3" t="inlineStr">
        <is>
          <t>Affected Units</t>
        </is>
      </c>
      <c r="H2" s="3" t="inlineStr">
        <is>
          <t>Time Horizon</t>
        </is>
      </c>
      <c r="I2" s="3" t="inlineStr">
        <is>
          <t>Trend</t>
        </is>
      </c>
      <c r="J2" s="3" t="inlineStr">
        <is>
          <t>Direction</t>
        </is>
      </c>
      <c r="K2" s="3" t="inlineStr">
        <is>
          <t>Impact (1-5)</t>
        </is>
      </c>
      <c r="L2" s="3" t="inlineStr">
        <is>
          <t>Urgency (1-5)</t>
        </is>
      </c>
      <c r="M2" s="3" t="inlineStr">
        <is>
          <t>Score</t>
        </is>
      </c>
      <c r="N2" s="3" t="inlineStr">
        <is>
          <t>Priority Level</t>
        </is>
      </c>
      <c r="O2" s="3" t="inlineStr">
        <is>
          <t>Owner</t>
        </is>
      </c>
      <c r="P2" s="3" t="inlineStr">
        <is>
          <t>Strategy</t>
        </is>
      </c>
      <c r="Q2" s="3" t="inlineStr">
        <is>
          <t>Action IDs</t>
        </is>
      </c>
      <c r="R2" s="3" t="inlineStr">
        <is>
          <t>Due Date</t>
        </is>
      </c>
      <c r="S2" s="3" t="inlineStr">
        <is>
          <t>Status</t>
        </is>
      </c>
      <c r="T2" s="3" t="inlineStr">
        <is>
          <t>Review Frequency</t>
        </is>
      </c>
      <c r="U2" s="3" t="inlineStr">
        <is>
          <t>Next Review (auto)</t>
        </is>
      </c>
      <c r="V2" s="3" t="inlineStr">
        <is>
          <t>Days to Review</t>
        </is>
      </c>
      <c r="W2" s="3" t="inlineStr">
        <is>
          <t>Escalate?</t>
        </is>
      </c>
      <c r="X2" s="3" t="inlineStr">
        <is>
          <t>Last Updated</t>
        </is>
      </c>
      <c r="Y2" s="3" t="inlineStr">
        <is>
          <t>Notes</t>
        </is>
      </c>
      <c r="Z2" s="3" t="inlineStr">
        <is>
          <t>Code</t>
        </is>
      </c>
      <c r="AA2" s="3" t="inlineStr">
        <is>
          <t>Age (days)</t>
        </is>
      </c>
    </row>
    <row r="3">
      <c r="A3" s="4" t="n">
        <v>1</v>
      </c>
      <c r="B3" s="4" t="inlineStr">
        <is>
          <t>Political</t>
        </is>
      </c>
      <c r="C3" s="4" t="inlineStr">
        <is>
          <t>New data sovereignty rules</t>
        </is>
      </c>
      <c r="D3" s="4" t="inlineStr">
        <is>
          <t>Draft bill requiring local data storage</t>
        </is>
      </c>
      <c r="E3" s="4" t="inlineStr">
        <is>
          <t>Gov portal</t>
        </is>
      </c>
      <c r="F3" s="4" t="inlineStr">
        <is>
          <t>EU</t>
        </is>
      </c>
      <c r="G3" s="4" t="inlineStr">
        <is>
          <t>IT, Legal</t>
        </is>
      </c>
      <c r="H3" s="4" t="inlineStr">
        <is>
          <t>1-3y</t>
        </is>
      </c>
      <c r="I3" s="4" t="inlineStr">
        <is>
          <t>Up</t>
        </is>
      </c>
      <c r="J3" s="4" t="inlineStr">
        <is>
          <t>Threat</t>
        </is>
      </c>
      <c r="K3" s="4" t="n">
        <v>4</v>
      </c>
      <c r="L3" s="4" t="n">
        <v>3</v>
      </c>
      <c r="M3" s="4">
        <f>K3*L3</f>
        <v/>
      </c>
      <c r="N3" s="4">
        <f>IF(M3&lt;="", "", IF(M3&lt;=PESTEL_Params!$B$3,"Low",IF(M3&lt;=PESTEL_Params!$B$4,"Medium",IF(M3&lt;=PESTEL_Params!$B$5,"High","Critical"))))</f>
        <v/>
      </c>
      <c r="O3" s="4" t="inlineStr">
        <is>
          <t>CIO</t>
        </is>
      </c>
      <c r="P3" s="4" t="inlineStr">
        <is>
          <t>Mitigate</t>
        </is>
      </c>
      <c r="Q3" s="4" t="inlineStr">
        <is>
          <t>AP-101</t>
        </is>
      </c>
      <c r="R3" s="13" t="inlineStr">
        <is>
          <t>2025-10-15</t>
        </is>
      </c>
      <c r="S3" s="4" t="inlineStr">
        <is>
          <t>Open</t>
        </is>
      </c>
      <c r="T3" s="4" t="inlineStr">
        <is>
          <t>Quarterly</t>
        </is>
      </c>
      <c r="U3" s="13">
        <f>IF(T3="Monthly",TODAY()+30,IF(T3="Quarterly",TODAY()+90,IF(T3="Semiannual",TODAY()+180,IF(T3="Annual",TODAY()+365,""))))</f>
        <v/>
      </c>
      <c r="V3" s="14">
        <f>IF(U3&lt;&gt;"",U3-TODAY(),"")</f>
        <v/>
      </c>
      <c r="W3" s="4">
        <f>IF(AND(OR(N3="High",N3="Critical"),S3&lt;&gt;"Closed"),"Yes","No")</f>
        <v/>
      </c>
      <c r="X3" s="13" t="inlineStr">
        <is>
          <t>2025-08-10</t>
        </is>
      </c>
      <c r="Y3" s="4" t="inlineStr">
        <is>
          <t>Assess data residency options</t>
        </is>
      </c>
      <c r="Z3" s="4">
        <f>IF(B3="Political","P",IF(B3="Economic","Ec",IF(B3="Social","S",IF(B3="Technological","T",IF(B3="Environmental","En",IF(B3="Legal","L","X")))))))&amp;"-"&amp;TEXT(A3,"0000")</f>
        <v/>
      </c>
      <c r="AA3" s="14">
        <f>IF(X3&lt;&gt;"",TODAY()-X3,"")</f>
        <v/>
      </c>
    </row>
    <row r="4">
      <c r="A4" s="4" t="n">
        <v>2</v>
      </c>
      <c r="B4" s="4" t="inlineStr">
        <is>
          <t>Political</t>
        </is>
      </c>
      <c r="C4" s="4" t="inlineStr">
        <is>
          <t>Public subsidies for green tech</t>
        </is>
      </c>
      <c r="D4" s="4" t="inlineStr">
        <is>
          <t>Funding program for industrial decarbonization</t>
        </is>
      </c>
      <c r="E4" s="4" t="inlineStr">
        <is>
          <t>Official gazette</t>
        </is>
      </c>
      <c r="F4" s="4" t="inlineStr">
        <is>
          <t>National</t>
        </is>
      </c>
      <c r="G4" s="4" t="inlineStr">
        <is>
          <t>Ops, Finance</t>
        </is>
      </c>
      <c r="H4" s="4" t="inlineStr">
        <is>
          <t>6-12m</t>
        </is>
      </c>
      <c r="I4" s="4" t="inlineStr">
        <is>
          <t>Stable</t>
        </is>
      </c>
      <c r="J4" s="4" t="inlineStr">
        <is>
          <t>Opportunity</t>
        </is>
      </c>
      <c r="K4" s="4" t="n">
        <v>3</v>
      </c>
      <c r="L4" s="4" t="n">
        <v>4</v>
      </c>
      <c r="M4" s="4">
        <f>K4*L4</f>
        <v/>
      </c>
      <c r="N4" s="4">
        <f>IF(M4&lt;="", "", IF(M4&lt;=PESTEL_Params!$B$3,"Low",IF(M4&lt;=PESTEL_Params!$B$4,"Medium",IF(M4&lt;=PESTEL_Params!$B$5,"High","Critical"))))</f>
        <v/>
      </c>
      <c r="O4" s="4" t="inlineStr">
        <is>
          <t>Sustainability Lead</t>
        </is>
      </c>
      <c r="P4" s="4" t="inlineStr">
        <is>
          <t>Leverage</t>
        </is>
      </c>
      <c r="Q4" s="4" t="inlineStr">
        <is>
          <t>AP-201</t>
        </is>
      </c>
      <c r="R4" s="13" t="inlineStr">
        <is>
          <t>2025-11-30</t>
        </is>
      </c>
      <c r="S4" s="4" t="inlineStr">
        <is>
          <t>Open</t>
        </is>
      </c>
      <c r="T4" s="4" t="inlineStr">
        <is>
          <t>Semiannual</t>
        </is>
      </c>
      <c r="U4" s="13">
        <f>IF(T4="Monthly",TODAY()+30,IF(T4="Quarterly",TODAY()+90,IF(T4="Semiannual",TODAY()+180,IF(T4="Annual",TODAY()+365,""))))</f>
        <v/>
      </c>
      <c r="V4" s="14">
        <f>IF(U4&lt;&gt;"",U4-TODAY(),"")</f>
        <v/>
      </c>
      <c r="W4" s="4">
        <f>IF(AND(OR(N4="High",N4="Critical"),S4&lt;&gt;"Closed"),"Yes","No")</f>
        <v/>
      </c>
      <c r="X4" s="13" t="inlineStr">
        <is>
          <t>2025-08-05</t>
        </is>
      </c>
      <c r="Y4" s="4" t="inlineStr">
        <is>
          <t>Prepare application dossier</t>
        </is>
      </c>
      <c r="Z4" s="4">
        <f>IF(B4="Political","P",IF(B4="Economic","Ec",IF(B4="Social","S",IF(B4="Technological","T",IF(B4="Environmental","En",IF(B4="Legal","L","X")))))))&amp;"-"&amp;TEXT(A4,"0000")</f>
        <v/>
      </c>
      <c r="AA4" s="14">
        <f>IF(X4&lt;&gt;"",TODAY()-X4,"")</f>
        <v/>
      </c>
    </row>
    <row r="5">
      <c r="A5" s="4" t="n">
        <v>3</v>
      </c>
      <c r="B5" s="4" t="inlineStr">
        <is>
          <t>Economic</t>
        </is>
      </c>
      <c r="C5" s="4" t="inlineStr">
        <is>
          <t>FX volatility on imports</t>
        </is>
      </c>
      <c r="D5" s="4" t="inlineStr">
        <is>
          <t>Currency swings affecting BOM costs</t>
        </is>
      </c>
      <c r="E5" s="4" t="inlineStr">
        <is>
          <t>Market reports</t>
        </is>
      </c>
      <c r="F5" s="4" t="inlineStr">
        <is>
          <t>Global</t>
        </is>
      </c>
      <c r="G5" s="4" t="inlineStr">
        <is>
          <t>Procurement</t>
        </is>
      </c>
      <c r="H5" s="4" t="inlineStr">
        <is>
          <t>Now</t>
        </is>
      </c>
      <c r="I5" s="4" t="inlineStr">
        <is>
          <t>Up</t>
        </is>
      </c>
      <c r="J5" s="4" t="inlineStr">
        <is>
          <t>Threat</t>
        </is>
      </c>
      <c r="K5" s="4" t="n">
        <v>4</v>
      </c>
      <c r="L5" s="4" t="n">
        <v>5</v>
      </c>
      <c r="M5" s="4">
        <f>K5*L5</f>
        <v/>
      </c>
      <c r="N5" s="4">
        <f>IF(M5&lt;="", "", IF(M5&lt;=PESTEL_Params!$B$3,"Low",IF(M5&lt;=PESTEL_Params!$B$4,"Medium",IF(M5&lt;=PESTEL_Params!$B$5,"High","Critical"))))</f>
        <v/>
      </c>
      <c r="O5" s="4" t="inlineStr">
        <is>
          <t>Treasurer</t>
        </is>
      </c>
      <c r="P5" s="4" t="inlineStr">
        <is>
          <t>Transfer</t>
        </is>
      </c>
      <c r="Q5" s="4" t="inlineStr">
        <is>
          <t>AP-301</t>
        </is>
      </c>
      <c r="R5" s="13" t="inlineStr">
        <is>
          <t>2025-09-30</t>
        </is>
      </c>
      <c r="S5" s="4" t="inlineStr">
        <is>
          <t>In progress</t>
        </is>
      </c>
      <c r="T5" s="4" t="inlineStr">
        <is>
          <t>Monthly</t>
        </is>
      </c>
      <c r="U5" s="13">
        <f>IF(T5="Monthly",TODAY()+30,IF(T5="Quarterly",TODAY()+90,IF(T5="Semiannual",TODAY()+180,IF(T5="Annual",TODAY()+365,""))))</f>
        <v/>
      </c>
      <c r="V5" s="14">
        <f>IF(U5&lt;&gt;"",U5-TODAY(),"")</f>
        <v/>
      </c>
      <c r="W5" s="4">
        <f>IF(AND(OR(N5="High",N5="Critical"),S5&lt;&gt;"Closed"),"Yes","No")</f>
        <v/>
      </c>
      <c r="X5" s="13" t="inlineStr">
        <is>
          <t>2025-08-18</t>
        </is>
      </c>
      <c r="Y5" s="4" t="inlineStr">
        <is>
          <t>Forward contracts pipeline</t>
        </is>
      </c>
      <c r="Z5" s="4">
        <f>IF(B5="Political","P",IF(B5="Economic","Ec",IF(B5="Social","S",IF(B5="Technological","T",IF(B5="Environmental","En",IF(B5="Legal","L","X")))))))&amp;"-"&amp;TEXT(A5,"0000")</f>
        <v/>
      </c>
      <c r="AA5" s="14">
        <f>IF(X5&lt;&gt;"",TODAY()-X5,"")</f>
        <v/>
      </c>
    </row>
    <row r="6">
      <c r="A6" s="4" t="n">
        <v>4</v>
      </c>
      <c r="B6" s="4" t="inlineStr">
        <is>
          <t>Economic</t>
        </is>
      </c>
      <c r="C6" s="4" t="inlineStr">
        <is>
          <t>Lower interest rates</t>
        </is>
      </c>
      <c r="D6" s="4" t="inlineStr">
        <is>
          <t>Cheaper financing conditions expected</t>
        </is>
      </c>
      <c r="E6" s="4" t="inlineStr">
        <is>
          <t>Central bank outlook</t>
        </is>
      </c>
      <c r="F6" s="4" t="inlineStr">
        <is>
          <t>EU</t>
        </is>
      </c>
      <c r="G6" s="4" t="inlineStr">
        <is>
          <t>Finance</t>
        </is>
      </c>
      <c r="H6" s="4" t="inlineStr">
        <is>
          <t>1-3y</t>
        </is>
      </c>
      <c r="I6" s="4" t="inlineStr">
        <is>
          <t>Down</t>
        </is>
      </c>
      <c r="J6" s="4" t="inlineStr">
        <is>
          <t>Opportunity</t>
        </is>
      </c>
      <c r="K6" s="4" t="n">
        <v>3</v>
      </c>
      <c r="L6" s="4" t="n">
        <v>3</v>
      </c>
      <c r="M6" s="4">
        <f>K6*L6</f>
        <v/>
      </c>
      <c r="N6" s="4">
        <f>IF(M6&lt;="", "", IF(M6&lt;=PESTEL_Params!$B$3,"Low",IF(M6&lt;=PESTEL_Params!$B$4,"Medium",IF(M6&lt;=PESTEL_Params!$B$5,"High","Critical"))))</f>
        <v/>
      </c>
      <c r="O6" s="4" t="inlineStr">
        <is>
          <t>CFO</t>
        </is>
      </c>
      <c r="P6" s="4" t="inlineStr">
        <is>
          <t>Leverage</t>
        </is>
      </c>
      <c r="Q6" s="4" t="inlineStr">
        <is>
          <t>AP-302</t>
        </is>
      </c>
      <c r="R6" s="13" t="inlineStr">
        <is>
          <t>2025-12-15</t>
        </is>
      </c>
      <c r="S6" s="4" t="inlineStr">
        <is>
          <t>Open</t>
        </is>
      </c>
      <c r="T6" s="4" t="inlineStr">
        <is>
          <t>Quarterly</t>
        </is>
      </c>
      <c r="U6" s="13">
        <f>IF(T6="Monthly",TODAY()+30,IF(T6="Quarterly",TODAY()+90,IF(T6="Semiannual",TODAY()+180,IF(T6="Annual",TODAY()+365,""))))</f>
        <v/>
      </c>
      <c r="V6" s="14">
        <f>IF(U6&lt;&gt;"",U6-TODAY(),"")</f>
        <v/>
      </c>
      <c r="W6" s="4">
        <f>IF(AND(OR(N6="High",N6="Critical"),S6&lt;&gt;"Closed"),"Yes","No")</f>
        <v/>
      </c>
      <c r="X6" s="13" t="inlineStr">
        <is>
          <t>2025-08-01</t>
        </is>
      </c>
      <c r="Y6" s="4" t="inlineStr">
        <is>
          <t>Refinance capex</t>
        </is>
      </c>
      <c r="Z6" s="4">
        <f>IF(B6="Political","P",IF(B6="Economic","Ec",IF(B6="Social","S",IF(B6="Technological","T",IF(B6="Environmental","En",IF(B6="Legal","L","X")))))))&amp;"-"&amp;TEXT(A6,"0000")</f>
        <v/>
      </c>
      <c r="AA6" s="14">
        <f>IF(X6&lt;&gt;"",TODAY()-X6,"")</f>
        <v/>
      </c>
    </row>
    <row r="7">
      <c r="A7" s="4" t="n">
        <v>5</v>
      </c>
      <c r="B7" s="4" t="inlineStr">
        <is>
          <t>Social</t>
        </is>
      </c>
      <c r="C7" s="4" t="inlineStr">
        <is>
          <t>Talent shortage in data</t>
        </is>
      </c>
      <c r="D7" s="4" t="inlineStr">
        <is>
          <t>Competition for data engineers</t>
        </is>
      </c>
      <c r="E7" s="4" t="inlineStr">
        <is>
          <t>Recruiting stats</t>
        </is>
      </c>
      <c r="F7" s="4" t="inlineStr">
        <is>
          <t>Local</t>
        </is>
      </c>
      <c r="G7" s="4" t="inlineStr">
        <is>
          <t>HR, IT</t>
        </is>
      </c>
      <c r="H7" s="4" t="inlineStr">
        <is>
          <t>6-12m</t>
        </is>
      </c>
      <c r="I7" s="4" t="inlineStr">
        <is>
          <t>Up</t>
        </is>
      </c>
      <c r="J7" s="4" t="inlineStr">
        <is>
          <t>Threat</t>
        </is>
      </c>
      <c r="K7" s="4" t="n">
        <v>4</v>
      </c>
      <c r="L7" s="4" t="n">
        <v>4</v>
      </c>
      <c r="M7" s="4">
        <f>K7*L7</f>
        <v/>
      </c>
      <c r="N7" s="4">
        <f>IF(M7&lt;="", "", IF(M7&lt;=PESTEL_Params!$B$3,"Low",IF(M7&lt;=PESTEL_Params!$B$4,"Medium",IF(M7&lt;=PESTEL_Params!$B$5,"High","Critical"))))</f>
        <v/>
      </c>
      <c r="O7" s="4" t="inlineStr">
        <is>
          <t>HR Director</t>
        </is>
      </c>
      <c r="P7" s="4" t="inlineStr">
        <is>
          <t>Mitigate</t>
        </is>
      </c>
      <c r="Q7" s="4" t="inlineStr">
        <is>
          <t>AP-401</t>
        </is>
      </c>
      <c r="R7" s="13" t="inlineStr">
        <is>
          <t>2025-10-05</t>
        </is>
      </c>
      <c r="S7" s="4" t="inlineStr">
        <is>
          <t>Open</t>
        </is>
      </c>
      <c r="T7" s="4" t="inlineStr">
        <is>
          <t>Quarterly</t>
        </is>
      </c>
      <c r="U7" s="13">
        <f>IF(T7="Monthly",TODAY()+30,IF(T7="Quarterly",TODAY()+90,IF(T7="Semiannual",TODAY()+180,IF(T7="Annual",TODAY()+365,""))))</f>
        <v/>
      </c>
      <c r="V7" s="14">
        <f>IF(U7&lt;&gt;"",U7-TODAY(),"")</f>
        <v/>
      </c>
      <c r="W7" s="4">
        <f>IF(AND(OR(N7="High",N7="Critical"),S7&lt;&gt;"Closed"),"Yes","No")</f>
        <v/>
      </c>
      <c r="X7" s="13" t="inlineStr">
        <is>
          <t>2025-08-12</t>
        </is>
      </c>
      <c r="Y7" s="4" t="inlineStr">
        <is>
          <t>Partnerships with schools</t>
        </is>
      </c>
      <c r="Z7" s="4">
        <f>IF(B7="Political","P",IF(B7="Economic","Ec",IF(B7="Social","S",IF(B7="Technological","T",IF(B7="Environmental","En",IF(B7="Legal","L","X")))))))&amp;"-"&amp;TEXT(A7,"0000")</f>
        <v/>
      </c>
      <c r="AA7" s="14">
        <f>IF(X7&lt;&gt;"",TODAY()-X7,"")</f>
        <v/>
      </c>
    </row>
    <row r="8">
      <c r="A8" s="4" t="n">
        <v>6</v>
      </c>
      <c r="B8" s="4" t="inlineStr">
        <is>
          <t>Social</t>
        </is>
      </c>
      <c r="C8" s="4" t="inlineStr">
        <is>
          <t>Consumer eco-awareness</t>
        </is>
      </c>
      <c r="D8" s="4" t="inlineStr">
        <is>
          <t>Demand for low-carbon products</t>
        </is>
      </c>
      <c r="E8" s="4" t="inlineStr">
        <is>
          <t>Survey data</t>
        </is>
      </c>
      <c r="F8" s="4" t="inlineStr">
        <is>
          <t>EU</t>
        </is>
      </c>
      <c r="G8" s="4" t="inlineStr">
        <is>
          <t>Marketing</t>
        </is>
      </c>
      <c r="H8" s="4" t="inlineStr">
        <is>
          <t>1-3y</t>
        </is>
      </c>
      <c r="I8" s="4" t="inlineStr">
        <is>
          <t>Up</t>
        </is>
      </c>
      <c r="J8" s="4" t="inlineStr">
        <is>
          <t>Opportunity</t>
        </is>
      </c>
      <c r="K8" s="4" t="n">
        <v>3</v>
      </c>
      <c r="L8" s="4" t="n">
        <v>4</v>
      </c>
      <c r="M8" s="4">
        <f>K8*L8</f>
        <v/>
      </c>
      <c r="N8" s="4">
        <f>IF(M8&lt;="", "", IF(M8&lt;=PESTEL_Params!$B$3,"Low",IF(M8&lt;=PESTEL_Params!$B$4,"Medium",IF(M8&lt;=PESTEL_Params!$B$5,"High","Critical"))))</f>
        <v/>
      </c>
      <c r="O8" s="4" t="inlineStr">
        <is>
          <t>CMO</t>
        </is>
      </c>
      <c r="P8" s="4" t="inlineStr">
        <is>
          <t>Leverage</t>
        </is>
      </c>
      <c r="Q8" s="4" t="inlineStr">
        <is>
          <t>AP-402</t>
        </is>
      </c>
      <c r="R8" s="13" t="inlineStr">
        <is>
          <t>2025-09-25</t>
        </is>
      </c>
      <c r="S8" s="4" t="inlineStr">
        <is>
          <t>Open</t>
        </is>
      </c>
      <c r="T8" s="4" t="inlineStr">
        <is>
          <t>Semiannual</t>
        </is>
      </c>
      <c r="U8" s="13">
        <f>IF(T8="Monthly",TODAY()+30,IF(T8="Quarterly",TODAY()+90,IF(T8="Semiannual",TODAY()+180,IF(T8="Annual",TODAY()+365,""))))</f>
        <v/>
      </c>
      <c r="V8" s="14">
        <f>IF(U8&lt;&gt;"",U8-TODAY(),"")</f>
        <v/>
      </c>
      <c r="W8" s="4">
        <f>IF(AND(OR(N8="High",N8="Critical"),S8&lt;&gt;"Closed"),"Yes","No")</f>
        <v/>
      </c>
      <c r="X8" s="13" t="inlineStr">
        <is>
          <t>2025-08-14</t>
        </is>
      </c>
      <c r="Y8" s="4" t="inlineStr">
        <is>
          <t>Green product labeling</t>
        </is>
      </c>
      <c r="Z8" s="4">
        <f>IF(B8="Political","P",IF(B8="Economic","Ec",IF(B8="Social","S",IF(B8="Technological","T",IF(B8="Environmental","En",IF(B8="Legal","L","X")))))))&amp;"-"&amp;TEXT(A8,"0000")</f>
        <v/>
      </c>
      <c r="AA8" s="14">
        <f>IF(X8&lt;&gt;"",TODAY()-X8,"")</f>
        <v/>
      </c>
    </row>
    <row r="9">
      <c r="A9" s="4" t="n">
        <v>7</v>
      </c>
      <c r="B9" s="4" t="inlineStr">
        <is>
          <t>Technological</t>
        </is>
      </c>
      <c r="C9" s="4" t="inlineStr">
        <is>
          <t>AI-enabled automation</t>
        </is>
      </c>
      <c r="D9" s="4" t="inlineStr">
        <is>
          <t>Mature tools for process automation</t>
        </is>
      </c>
      <c r="E9" s="4" t="inlineStr">
        <is>
          <t>Vendor demos</t>
        </is>
      </c>
      <c r="F9" s="4" t="inlineStr">
        <is>
          <t>Ops</t>
        </is>
      </c>
      <c r="G9" s="4" t="inlineStr">
        <is>
          <t>Ops, IT</t>
        </is>
      </c>
      <c r="H9" s="4" t="inlineStr">
        <is>
          <t>6-12m</t>
        </is>
      </c>
      <c r="I9" s="4" t="inlineStr">
        <is>
          <t>Up</t>
        </is>
      </c>
      <c r="J9" s="4" t="inlineStr">
        <is>
          <t>Opportunity</t>
        </is>
      </c>
      <c r="K9" s="4" t="n">
        <v>4</v>
      </c>
      <c r="L9" s="4" t="n">
        <v>4</v>
      </c>
      <c r="M9" s="4">
        <f>K9*L9</f>
        <v/>
      </c>
      <c r="N9" s="4">
        <f>IF(M9&lt;="", "", IF(M9&lt;=PESTEL_Params!$B$3,"Low",IF(M9&lt;=PESTEL_Params!$B$4,"Medium",IF(M9&lt;=PESTEL_Params!$B$5,"High","Critical"))))</f>
        <v/>
      </c>
      <c r="O9" s="4" t="inlineStr">
        <is>
          <t>COO</t>
        </is>
      </c>
      <c r="P9" s="4" t="inlineStr">
        <is>
          <t>Leverage</t>
        </is>
      </c>
      <c r="Q9" s="4" t="inlineStr">
        <is>
          <t>AP-501</t>
        </is>
      </c>
      <c r="R9" s="13" t="inlineStr">
        <is>
          <t>2025-10-20</t>
        </is>
      </c>
      <c r="S9" s="4" t="inlineStr">
        <is>
          <t>Open</t>
        </is>
      </c>
      <c r="T9" s="4" t="inlineStr">
        <is>
          <t>Quarterly</t>
        </is>
      </c>
      <c r="U9" s="13">
        <f>IF(T9="Monthly",TODAY()+30,IF(T9="Quarterly",TODAY()+90,IF(T9="Semiannual",TODAY()+180,IF(T9="Annual",TODAY()+365,""))))</f>
        <v/>
      </c>
      <c r="V9" s="14">
        <f>IF(U9&lt;&gt;"",U9-TODAY(),"")</f>
        <v/>
      </c>
      <c r="W9" s="4">
        <f>IF(AND(OR(N9="High",N9="Critical"),S9&lt;&gt;"Closed"),"Yes","No")</f>
        <v/>
      </c>
      <c r="X9" s="13" t="inlineStr">
        <is>
          <t>2025-08-20</t>
        </is>
      </c>
      <c r="Y9" s="4" t="inlineStr">
        <is>
          <t>Pilot RPA/AI in back-office</t>
        </is>
      </c>
      <c r="Z9" s="4">
        <f>IF(B9="Political","P",IF(B9="Economic","Ec",IF(B9="Social","S",IF(B9="Technological","T",IF(B9="Environmental","En",IF(B9="Legal","L","X")))))))&amp;"-"&amp;TEXT(A9,"0000")</f>
        <v/>
      </c>
      <c r="AA9" s="14">
        <f>IF(X9&lt;&gt;"",TODAY()-X9,"")</f>
        <v/>
      </c>
    </row>
    <row r="10">
      <c r="A10" s="4" t="n">
        <v>8</v>
      </c>
      <c r="B10" s="4" t="inlineStr">
        <is>
          <t>Technological</t>
        </is>
      </c>
      <c r="C10" s="4" t="inlineStr">
        <is>
          <t>Legacy ERP constraints</t>
        </is>
      </c>
      <c r="D10" s="4" t="inlineStr">
        <is>
          <t>Customization limits and maintenance costs</t>
        </is>
      </c>
      <c r="E10" s="4" t="inlineStr">
        <is>
          <t>IT audit</t>
        </is>
      </c>
      <c r="F10" s="4" t="inlineStr">
        <is>
          <t>HQ</t>
        </is>
      </c>
      <c r="G10" s="4" t="inlineStr">
        <is>
          <t>IT</t>
        </is>
      </c>
      <c r="H10" s="4" t="inlineStr">
        <is>
          <t>1-3y</t>
        </is>
      </c>
      <c r="I10" s="4" t="inlineStr">
        <is>
          <t>Stable</t>
        </is>
      </c>
      <c r="J10" s="4" t="inlineStr">
        <is>
          <t>Threat</t>
        </is>
      </c>
      <c r="K10" s="4" t="n">
        <v>3</v>
      </c>
      <c r="L10" s="4" t="n">
        <v>3</v>
      </c>
      <c r="M10" s="4">
        <f>K10*L10</f>
        <v/>
      </c>
      <c r="N10" s="4">
        <f>IF(M10&lt;="", "", IF(M10&lt;=PESTEL_Params!$B$3,"Low",IF(M10&lt;=PESTEL_Params!$B$4,"Medium",IF(M10&lt;=PESTEL_Params!$B$5,"High","Critical"))))</f>
        <v/>
      </c>
      <c r="O10" s="4" t="inlineStr">
        <is>
          <t>CIO</t>
        </is>
      </c>
      <c r="P10" s="4" t="inlineStr">
        <is>
          <t>Mitigate</t>
        </is>
      </c>
      <c r="Q10" s="4" t="inlineStr">
        <is>
          <t>AP-502</t>
        </is>
      </c>
      <c r="R10" s="13" t="inlineStr">
        <is>
          <t>2025-11-10</t>
        </is>
      </c>
      <c r="S10" s="4" t="inlineStr">
        <is>
          <t>Open</t>
        </is>
      </c>
      <c r="T10" s="4" t="inlineStr">
        <is>
          <t>Quarterly</t>
        </is>
      </c>
      <c r="U10" s="13">
        <f>IF(T10="Monthly",TODAY()+30,IF(T10="Quarterly",TODAY()+90,IF(T10="Semiannual",TODAY()+180,IF(T10="Annual",TODAY()+365,""))))</f>
        <v/>
      </c>
      <c r="V10" s="14">
        <f>IF(U10&lt;&gt;"",U10-TODAY(),"")</f>
        <v/>
      </c>
      <c r="W10" s="4">
        <f>IF(AND(OR(N10="High",N10="Critical"),S10&lt;&gt;"Closed"),"Yes","No")</f>
        <v/>
      </c>
      <c r="X10" s="13" t="inlineStr">
        <is>
          <t>2025-08-16</t>
        </is>
      </c>
      <c r="Y10" s="4" t="inlineStr">
        <is>
          <t>Roadmap to modernize</t>
        </is>
      </c>
      <c r="Z10" s="4">
        <f>IF(B10="Political","P",IF(B10="Economic","Ec",IF(B10="Social","S",IF(B10="Technological","T",IF(B10="Environmental","En",IF(B10="Legal","L","X")))))))&amp;"-"&amp;TEXT(A10,"0000")</f>
        <v/>
      </c>
      <c r="AA10" s="14">
        <f>IF(X10&lt;&gt;"",TODAY()-X10,"")</f>
        <v/>
      </c>
    </row>
    <row r="11">
      <c r="A11" s="4" t="n">
        <v>9</v>
      </c>
      <c r="B11" s="4" t="inlineStr">
        <is>
          <t>Environmental</t>
        </is>
      </c>
      <c r="C11" s="4" t="inlineStr">
        <is>
          <t>Tighter emissions caps</t>
        </is>
      </c>
      <c r="D11" s="4" t="inlineStr">
        <is>
          <t>Stricter ETS phase</t>
        </is>
      </c>
      <c r="E11" s="4" t="inlineStr">
        <is>
          <t>Regulator note</t>
        </is>
      </c>
      <c r="F11" s="4" t="inlineStr">
        <is>
          <t>EU</t>
        </is>
      </c>
      <c r="G11" s="4" t="inlineStr">
        <is>
          <t>Plants</t>
        </is>
      </c>
      <c r="H11" s="4" t="inlineStr">
        <is>
          <t>1-3y</t>
        </is>
      </c>
      <c r="I11" s="4" t="inlineStr">
        <is>
          <t>Up</t>
        </is>
      </c>
      <c r="J11" s="4" t="inlineStr">
        <is>
          <t>Threat</t>
        </is>
      </c>
      <c r="K11" s="4" t="n">
        <v>5</v>
      </c>
      <c r="L11" s="4" t="n">
        <v>4</v>
      </c>
      <c r="M11" s="4">
        <f>K11*L11</f>
        <v/>
      </c>
      <c r="N11" s="4">
        <f>IF(M11&lt;="", "", IF(M11&lt;=PESTEL_Params!$B$3,"Low",IF(M11&lt;=PESTEL_Params!$B$4,"Medium",IF(M11&lt;=PESTEL_Params!$B$5,"High","Critical"))))</f>
        <v/>
      </c>
      <c r="O11" s="4" t="inlineStr">
        <is>
          <t>Plant Manager</t>
        </is>
      </c>
      <c r="P11" s="4" t="inlineStr">
        <is>
          <t>Mitigate</t>
        </is>
      </c>
      <c r="Q11" s="4" t="inlineStr">
        <is>
          <t>AP-601</t>
        </is>
      </c>
      <c r="R11" s="13" t="inlineStr">
        <is>
          <t>2025-09-18</t>
        </is>
      </c>
      <c r="S11" s="4" t="inlineStr">
        <is>
          <t>Open</t>
        </is>
      </c>
      <c r="T11" s="4" t="inlineStr">
        <is>
          <t>Quarterly</t>
        </is>
      </c>
      <c r="U11" s="13">
        <f>IF(T11="Monthly",TODAY()+30,IF(T11="Quarterly",TODAY()+90,IF(T11="Semiannual",TODAY()+180,IF(T11="Annual",TODAY()+365,""))))</f>
        <v/>
      </c>
      <c r="V11" s="14">
        <f>IF(U11&lt;&gt;"",U11-TODAY(),"")</f>
        <v/>
      </c>
      <c r="W11" s="4">
        <f>IF(AND(OR(N11="High",N11="Critical"),S11&lt;&gt;"Closed"),"Yes","No")</f>
        <v/>
      </c>
      <c r="X11" s="13" t="inlineStr">
        <is>
          <t>2025-08-22</t>
        </is>
      </c>
      <c r="Y11" s="4" t="inlineStr">
        <is>
          <t>Capex for abatement</t>
        </is>
      </c>
      <c r="Z11" s="4">
        <f>IF(B11="Political","P",IF(B11="Economic","Ec",IF(B11="Social","S",IF(B11="Technological","T",IF(B11="Environmental","En",IF(B11="Legal","L","X")))))))&amp;"-"&amp;TEXT(A11,"0000")</f>
        <v/>
      </c>
      <c r="AA11" s="14">
        <f>IF(X11&lt;&gt;"",TODAY()-X11,"")</f>
        <v/>
      </c>
    </row>
    <row r="12">
      <c r="A12" s="4" t="n">
        <v>10</v>
      </c>
      <c r="B12" s="4" t="inlineStr">
        <is>
          <t>Environmental</t>
        </is>
      </c>
      <c r="C12" s="4" t="inlineStr">
        <is>
          <t>Renewable energy incentives</t>
        </is>
      </c>
      <c r="D12" s="4" t="inlineStr">
        <is>
          <t>Accelerated depreciation for solar</t>
        </is>
      </c>
      <c r="E12" s="4" t="inlineStr">
        <is>
          <t>Gov circular</t>
        </is>
      </c>
      <c r="F12" s="4" t="inlineStr">
        <is>
          <t>National</t>
        </is>
      </c>
      <c r="G12" s="4" t="inlineStr">
        <is>
          <t>All sites</t>
        </is>
      </c>
      <c r="H12" s="4" t="inlineStr">
        <is>
          <t>6-12m</t>
        </is>
      </c>
      <c r="I12" s="4" t="inlineStr">
        <is>
          <t>Stable</t>
        </is>
      </c>
      <c r="J12" s="4" t="inlineStr">
        <is>
          <t>Opportunity</t>
        </is>
      </c>
      <c r="K12" s="4" t="n">
        <v>3</v>
      </c>
      <c r="L12" s="4" t="n">
        <v>4</v>
      </c>
      <c r="M12" s="4">
        <f>K12*L12</f>
        <v/>
      </c>
      <c r="N12" s="4">
        <f>IF(M12&lt;="", "", IF(M12&lt;=PESTEL_Params!$B$3,"Low",IF(M12&lt;=PESTEL_Params!$B$4,"Medium",IF(M12&lt;=PESTEL_Params!$B$5,"High","Critical"))))</f>
        <v/>
      </c>
      <c r="O12" s="4" t="inlineStr">
        <is>
          <t>Energy Manager</t>
        </is>
      </c>
      <c r="P12" s="4" t="inlineStr">
        <is>
          <t>Leverage</t>
        </is>
      </c>
      <c r="Q12" s="4" t="inlineStr">
        <is>
          <t>AP-602</t>
        </is>
      </c>
      <c r="R12" s="13" t="inlineStr">
        <is>
          <t>2025-10-30</t>
        </is>
      </c>
      <c r="S12" s="4" t="inlineStr">
        <is>
          <t>Open</t>
        </is>
      </c>
      <c r="T12" s="4" t="inlineStr">
        <is>
          <t>Semiannual</t>
        </is>
      </c>
      <c r="U12" s="13">
        <f>IF(T12="Monthly",TODAY()+30,IF(T12="Quarterly",TODAY()+90,IF(T12="Semiannual",TODAY()+180,IF(T12="Annual",TODAY()+365,""))))</f>
        <v/>
      </c>
      <c r="V12" s="14">
        <f>IF(U12&lt;&gt;"",U12-TODAY(),"")</f>
        <v/>
      </c>
      <c r="W12" s="4">
        <f>IF(AND(OR(N12="High",N12="Critical"),S12&lt;&gt;"Closed"),"Yes","No")</f>
        <v/>
      </c>
      <c r="X12" s="13" t="inlineStr">
        <is>
          <t>2025-08-07</t>
        </is>
      </c>
      <c r="Y12" s="4" t="inlineStr">
        <is>
          <t>Solar PPA assessment</t>
        </is>
      </c>
      <c r="Z12" s="4">
        <f>IF(B12="Political","P",IF(B12="Economic","Ec",IF(B12="Social","S",IF(B12="Technological","T",IF(B12="Environmental","En",IF(B12="Legal","L","X")))))))&amp;"-"&amp;TEXT(A12,"0000")</f>
        <v/>
      </c>
      <c r="AA12" s="14">
        <f>IF(X12&lt;&gt;"",TODAY()-X12,"")</f>
        <v/>
      </c>
    </row>
    <row r="13">
      <c r="A13" s="4" t="n">
        <v>11</v>
      </c>
      <c r="B13" s="4" t="inlineStr">
        <is>
          <t>Legal</t>
        </is>
      </c>
      <c r="C13" s="4" t="inlineStr">
        <is>
          <t>Privacy regulation update</t>
        </is>
      </c>
      <c r="D13" s="4" t="inlineStr">
        <is>
          <t>Stronger consent requirements</t>
        </is>
      </c>
      <c r="E13" s="4" t="inlineStr">
        <is>
          <t>DP authority note</t>
        </is>
      </c>
      <c r="F13" s="4" t="inlineStr">
        <is>
          <t>EU</t>
        </is>
      </c>
      <c r="G13" s="4" t="inlineStr">
        <is>
          <t>Legal, Marketing</t>
        </is>
      </c>
      <c r="H13" s="4" t="inlineStr">
        <is>
          <t>6-12m</t>
        </is>
      </c>
      <c r="I13" s="4" t="inlineStr">
        <is>
          <t>Up</t>
        </is>
      </c>
      <c r="J13" s="4" t="inlineStr">
        <is>
          <t>Threat</t>
        </is>
      </c>
      <c r="K13" s="4" t="n">
        <v>4</v>
      </c>
      <c r="L13" s="4" t="n">
        <v>4</v>
      </c>
      <c r="M13" s="4">
        <f>K13*L13</f>
        <v/>
      </c>
      <c r="N13" s="4">
        <f>IF(M13&lt;="", "", IF(M13&lt;=PESTEL_Params!$B$3,"Low",IF(M13&lt;=PESTEL_Params!$B$4,"Medium",IF(M13&lt;=PESTEL_Params!$B$5,"High","Critical"))))</f>
        <v/>
      </c>
      <c r="O13" s="4" t="inlineStr">
        <is>
          <t>DPO</t>
        </is>
      </c>
      <c r="P13" s="4" t="inlineStr">
        <is>
          <t>Mitigate</t>
        </is>
      </c>
      <c r="Q13" s="4" t="inlineStr">
        <is>
          <t>AP-701</t>
        </is>
      </c>
      <c r="R13" s="13" t="inlineStr">
        <is>
          <t>2025-09-12</t>
        </is>
      </c>
      <c r="S13" s="4" t="inlineStr">
        <is>
          <t>Open</t>
        </is>
      </c>
      <c r="T13" s="4" t="inlineStr">
        <is>
          <t>Quarterly</t>
        </is>
      </c>
      <c r="U13" s="13">
        <f>IF(T13="Monthly",TODAY()+30,IF(T13="Quarterly",TODAY()+90,IF(T13="Semiannual",TODAY()+180,IF(T13="Annual",TODAY()+365,""))))</f>
        <v/>
      </c>
      <c r="V13" s="14">
        <f>IF(U13&lt;&gt;"",U13-TODAY(),"")</f>
        <v/>
      </c>
      <c r="W13" s="4">
        <f>IF(AND(OR(N13="High",N13="Critical"),S13&lt;&gt;"Closed"),"Yes","No")</f>
        <v/>
      </c>
      <c r="X13" s="13" t="inlineStr">
        <is>
          <t>2025-08-25</t>
        </is>
      </c>
      <c r="Y13" s="4" t="inlineStr">
        <is>
          <t>Consent framework redesign</t>
        </is>
      </c>
      <c r="Z13" s="4">
        <f>IF(B13="Political","P",IF(B13="Economic","Ec",IF(B13="Social","S",IF(B13="Technological","T",IF(B13="Environmental","En",IF(B13="Legal","L","X")))))))&amp;"-"&amp;TEXT(A13,"0000")</f>
        <v/>
      </c>
      <c r="AA13" s="14">
        <f>IF(X13&lt;&gt;"",TODAY()-X13,"")</f>
        <v/>
      </c>
    </row>
    <row r="14">
      <c r="A14" s="4" t="n">
        <v>12</v>
      </c>
      <c r="B14" s="4" t="inlineStr">
        <is>
          <t>Legal</t>
        </is>
      </c>
      <c r="C14" s="4" t="inlineStr">
        <is>
          <t>Whistleblowing protections</t>
        </is>
      </c>
      <c r="D14" s="4" t="inlineStr">
        <is>
          <t>Expanded scope &amp; deadlines</t>
        </is>
      </c>
      <c r="E14" s="4" t="inlineStr">
        <is>
          <t>Official bulletin</t>
        </is>
      </c>
      <c r="F14" s="4" t="inlineStr">
        <is>
          <t>National</t>
        </is>
      </c>
      <c r="G14" s="4" t="inlineStr">
        <is>
          <t>HR, Legal</t>
        </is>
      </c>
      <c r="H14" s="4" t="inlineStr">
        <is>
          <t>Now</t>
        </is>
      </c>
      <c r="I14" s="4" t="inlineStr">
        <is>
          <t>Stable</t>
        </is>
      </c>
      <c r="J14" s="4" t="inlineStr">
        <is>
          <t>Threat</t>
        </is>
      </c>
      <c r="K14" s="4" t="n">
        <v>3</v>
      </c>
      <c r="L14" s="4" t="n">
        <v>3</v>
      </c>
      <c r="M14" s="4">
        <f>K14*L14</f>
        <v/>
      </c>
      <c r="N14" s="4">
        <f>IF(M14&lt;="", "", IF(M14&lt;=PESTEL_Params!$B$3,"Low",IF(M14&lt;=PESTEL_Params!$B$4,"Medium",IF(M14&lt;=PESTEL_Params!$B$5,"High","Critical"))))</f>
        <v/>
      </c>
      <c r="O14" s="4" t="inlineStr">
        <is>
          <t>Legal Counsel</t>
        </is>
      </c>
      <c r="P14" s="4" t="inlineStr">
        <is>
          <t>Mitigate</t>
        </is>
      </c>
      <c r="Q14" s="4" t="inlineStr">
        <is>
          <t>AP-702</t>
        </is>
      </c>
      <c r="R14" s="13" t="inlineStr">
        <is>
          <t>2025-08-31</t>
        </is>
      </c>
      <c r="S14" s="4" t="inlineStr">
        <is>
          <t>In progress</t>
        </is>
      </c>
      <c r="T14" s="4" t="inlineStr">
        <is>
          <t>Monthly</t>
        </is>
      </c>
      <c r="U14" s="13">
        <f>IF(T14="Monthly",TODAY()+30,IF(T14="Quarterly",TODAY()+90,IF(T14="Semiannual",TODAY()+180,IF(T14="Annual",TODAY()+365,""))))</f>
        <v/>
      </c>
      <c r="V14" s="14">
        <f>IF(U14&lt;&gt;"",U14-TODAY(),"")</f>
        <v/>
      </c>
      <c r="W14" s="4">
        <f>IF(AND(OR(N14="High",N14="Critical"),S14&lt;&gt;"Closed"),"Yes","No")</f>
        <v/>
      </c>
      <c r="X14" s="13" t="inlineStr">
        <is>
          <t>2025-08-19</t>
        </is>
      </c>
      <c r="Y14" s="4" t="inlineStr">
        <is>
          <t>Update policy &amp; channel</t>
        </is>
      </c>
      <c r="Z14" s="4">
        <f>IF(B14="Political","P",IF(B14="Economic","Ec",IF(B14="Social","S",IF(B14="Technological","T",IF(B14="Environmental","En",IF(B14="Legal","L","X")))))))&amp;"-"&amp;TEXT(A14,"0000")</f>
        <v/>
      </c>
      <c r="AA14" s="14">
        <f>IF(X14&lt;&gt;"",TODAY()-X14,"")</f>
        <v/>
      </c>
    </row>
    <row r="15">
      <c r="A15" s="4" t="n">
        <v>13</v>
      </c>
      <c r="B15" s="4" t="inlineStr">
        <is>
          <t>Political</t>
        </is>
      </c>
      <c r="C15" s="4" t="inlineStr">
        <is>
          <t>New data sovereignty rules (alt)</t>
        </is>
      </c>
      <c r="D15" s="4" t="inlineStr">
        <is>
          <t>Draft bill requiring local data storage</t>
        </is>
      </c>
      <c r="E15" s="4" t="inlineStr">
        <is>
          <t>Gov portal</t>
        </is>
      </c>
      <c r="F15" s="4" t="inlineStr">
        <is>
          <t>EU</t>
        </is>
      </c>
      <c r="G15" s="4" t="inlineStr">
        <is>
          <t>IT, Legal / Div2</t>
        </is>
      </c>
      <c r="H15" s="4" t="inlineStr">
        <is>
          <t>1-3y</t>
        </is>
      </c>
      <c r="I15" s="4" t="inlineStr">
        <is>
          <t>Up</t>
        </is>
      </c>
      <c r="J15" s="4" t="inlineStr">
        <is>
          <t>Threat</t>
        </is>
      </c>
      <c r="K15" s="4" t="n">
        <v>4</v>
      </c>
      <c r="L15" s="4" t="n">
        <v>3</v>
      </c>
      <c r="M15" s="4">
        <f>K15*L15</f>
        <v/>
      </c>
      <c r="N15" s="4">
        <f>IF(M15&lt;="", "", IF(M15&lt;=PESTEL_Params!$B$3,"Low",IF(M15&lt;=PESTEL_Params!$B$4,"Medium",IF(M15&lt;=PESTEL_Params!$B$5,"High","Critical"))))</f>
        <v/>
      </c>
      <c r="O15" s="4" t="inlineStr">
        <is>
          <t>CIO</t>
        </is>
      </c>
      <c r="P15" s="4" t="inlineStr">
        <is>
          <t>Mitigate</t>
        </is>
      </c>
      <c r="Q15" s="4" t="inlineStr">
        <is>
          <t>AP-101</t>
        </is>
      </c>
      <c r="R15" s="13" t="inlineStr">
        <is>
          <t>2025-10-15</t>
        </is>
      </c>
      <c r="S15" s="4" t="inlineStr">
        <is>
          <t>In progress</t>
        </is>
      </c>
      <c r="T15" s="4" t="inlineStr">
        <is>
          <t>Quarterly</t>
        </is>
      </c>
      <c r="U15" s="13">
        <f>IF(T15="Monthly",TODAY()+30,IF(T15="Quarterly",TODAY()+90,IF(T15="Semiannual",TODAY()+180,IF(T15="Annual",TODAY()+365,""))))</f>
        <v/>
      </c>
      <c r="V15" s="14">
        <f>IF(U15&lt;&gt;"",U15-TODAY(),"")</f>
        <v/>
      </c>
      <c r="W15" s="4">
        <f>IF(AND(OR(N15="High",N15="Critical"),S15&lt;&gt;"Closed"),"Yes","No")</f>
        <v/>
      </c>
      <c r="X15" s="13" t="inlineStr">
        <is>
          <t>2025-08-10</t>
        </is>
      </c>
      <c r="Y15" s="4" t="inlineStr">
        <is>
          <t>Assess data residency options</t>
        </is>
      </c>
      <c r="Z15" s="4">
        <f>IF(B15="Political","P",IF(B15="Economic","Ec",IF(B15="Social","S",IF(B15="Technological","T",IF(B15="Environmental","En",IF(B15="Legal","L","X")))))))&amp;"-"&amp;TEXT(A15,"0000")</f>
        <v/>
      </c>
      <c r="AA15" s="14">
        <f>IF(X15&lt;&gt;"",TODAY()-X15,"")</f>
        <v/>
      </c>
    </row>
    <row r="16">
      <c r="A16" s="4" t="n">
        <v>14</v>
      </c>
      <c r="B16" s="4" t="inlineStr">
        <is>
          <t>Political</t>
        </is>
      </c>
      <c r="C16" s="4" t="inlineStr">
        <is>
          <t>Public subsidies for green tech (alt)</t>
        </is>
      </c>
      <c r="D16" s="4" t="inlineStr">
        <is>
          <t>Funding program for industrial decarbonization</t>
        </is>
      </c>
      <c r="E16" s="4" t="inlineStr">
        <is>
          <t>Official gazette</t>
        </is>
      </c>
      <c r="F16" s="4" t="inlineStr">
        <is>
          <t>National</t>
        </is>
      </c>
      <c r="G16" s="4" t="inlineStr">
        <is>
          <t>Ops, Finance / Div2</t>
        </is>
      </c>
      <c r="H16" s="4" t="inlineStr">
        <is>
          <t>6-12m</t>
        </is>
      </c>
      <c r="I16" s="4" t="inlineStr">
        <is>
          <t>Stable</t>
        </is>
      </c>
      <c r="J16" s="4" t="inlineStr">
        <is>
          <t>Opportunity</t>
        </is>
      </c>
      <c r="K16" s="4" t="n">
        <v>3</v>
      </c>
      <c r="L16" s="4" t="n">
        <v>4</v>
      </c>
      <c r="M16" s="4">
        <f>K16*L16</f>
        <v/>
      </c>
      <c r="N16" s="4">
        <f>IF(M16&lt;="", "", IF(M16&lt;=PESTEL_Params!$B$3,"Low",IF(M16&lt;=PESTEL_Params!$B$4,"Medium",IF(M16&lt;=PESTEL_Params!$B$5,"High","Critical"))))</f>
        <v/>
      </c>
      <c r="O16" s="4" t="inlineStr">
        <is>
          <t>Sustainability Lead</t>
        </is>
      </c>
      <c r="P16" s="4" t="inlineStr">
        <is>
          <t>Leverage</t>
        </is>
      </c>
      <c r="Q16" s="4" t="inlineStr">
        <is>
          <t>AP-201</t>
        </is>
      </c>
      <c r="R16" s="13" t="inlineStr">
        <is>
          <t>2025-11-30</t>
        </is>
      </c>
      <c r="S16" s="4" t="inlineStr">
        <is>
          <t>In progress</t>
        </is>
      </c>
      <c r="T16" s="4" t="inlineStr">
        <is>
          <t>Semiannual</t>
        </is>
      </c>
      <c r="U16" s="13">
        <f>IF(T16="Monthly",TODAY()+30,IF(T16="Quarterly",TODAY()+90,IF(T16="Semiannual",TODAY()+180,IF(T16="Annual",TODAY()+365,""))))</f>
        <v/>
      </c>
      <c r="V16" s="14">
        <f>IF(U16&lt;&gt;"",U16-TODAY(),"")</f>
        <v/>
      </c>
      <c r="W16" s="4">
        <f>IF(AND(OR(N16="High",N16="Critical"),S16&lt;&gt;"Closed"),"Yes","No")</f>
        <v/>
      </c>
      <c r="X16" s="13" t="inlineStr">
        <is>
          <t>2025-08-05</t>
        </is>
      </c>
      <c r="Y16" s="4" t="inlineStr">
        <is>
          <t>Prepare application dossier</t>
        </is>
      </c>
      <c r="Z16" s="4">
        <f>IF(B16="Political","P",IF(B16="Economic","Ec",IF(B16="Social","S",IF(B16="Technological","T",IF(B16="Environmental","En",IF(B16="Legal","L","X")))))))&amp;"-"&amp;TEXT(A16,"0000")</f>
        <v/>
      </c>
      <c r="AA16" s="14">
        <f>IF(X16&lt;&gt;"",TODAY()-X16,"")</f>
        <v/>
      </c>
    </row>
    <row r="17">
      <c r="A17" s="4" t="n">
        <v>15</v>
      </c>
      <c r="B17" s="4" t="inlineStr">
        <is>
          <t>Economic</t>
        </is>
      </c>
      <c r="C17" s="4" t="inlineStr">
        <is>
          <t>FX volatility on imports (alt)</t>
        </is>
      </c>
      <c r="D17" s="4" t="inlineStr">
        <is>
          <t>Currency swings affecting BOM costs</t>
        </is>
      </c>
      <c r="E17" s="4" t="inlineStr">
        <is>
          <t>Market reports</t>
        </is>
      </c>
      <c r="F17" s="4" t="inlineStr">
        <is>
          <t>Global</t>
        </is>
      </c>
      <c r="G17" s="4" t="inlineStr">
        <is>
          <t>Procurement / Div2</t>
        </is>
      </c>
      <c r="H17" s="4" t="inlineStr">
        <is>
          <t>Now</t>
        </is>
      </c>
      <c r="I17" s="4" t="inlineStr">
        <is>
          <t>Up</t>
        </is>
      </c>
      <c r="J17" s="4" t="inlineStr">
        <is>
          <t>Threat</t>
        </is>
      </c>
      <c r="K17" s="4" t="n">
        <v>4</v>
      </c>
      <c r="L17" s="4" t="n">
        <v>5</v>
      </c>
      <c r="M17" s="4">
        <f>K17*L17</f>
        <v/>
      </c>
      <c r="N17" s="4">
        <f>IF(M17&lt;="", "", IF(M17&lt;=PESTEL_Params!$B$3,"Low",IF(M17&lt;=PESTEL_Params!$B$4,"Medium",IF(M17&lt;=PESTEL_Params!$B$5,"High","Critical"))))</f>
        <v/>
      </c>
      <c r="O17" s="4" t="inlineStr">
        <is>
          <t>Treasurer</t>
        </is>
      </c>
      <c r="P17" s="4" t="inlineStr">
        <is>
          <t>Transfer</t>
        </is>
      </c>
      <c r="Q17" s="4" t="inlineStr">
        <is>
          <t>AP-301</t>
        </is>
      </c>
      <c r="R17" s="13" t="inlineStr">
        <is>
          <t>2025-09-30</t>
        </is>
      </c>
      <c r="S17" s="4" t="inlineStr">
        <is>
          <t>Open</t>
        </is>
      </c>
      <c r="T17" s="4" t="inlineStr">
        <is>
          <t>Monthly</t>
        </is>
      </c>
      <c r="U17" s="13">
        <f>IF(T17="Monthly",TODAY()+30,IF(T17="Quarterly",TODAY()+90,IF(T17="Semiannual",TODAY()+180,IF(T17="Annual",TODAY()+365,""))))</f>
        <v/>
      </c>
      <c r="V17" s="14">
        <f>IF(U17&lt;&gt;"",U17-TODAY(),"")</f>
        <v/>
      </c>
      <c r="W17" s="4">
        <f>IF(AND(OR(N17="High",N17="Critical"),S17&lt;&gt;"Closed"),"Yes","No")</f>
        <v/>
      </c>
      <c r="X17" s="13" t="inlineStr">
        <is>
          <t>2025-08-18</t>
        </is>
      </c>
      <c r="Y17" s="4" t="inlineStr">
        <is>
          <t>Forward contracts pipeline</t>
        </is>
      </c>
      <c r="Z17" s="4">
        <f>IF(B17="Political","P",IF(B17="Economic","Ec",IF(B17="Social","S",IF(B17="Technological","T",IF(B17="Environmental","En",IF(B17="Legal","L","X")))))))&amp;"-"&amp;TEXT(A17,"0000")</f>
        <v/>
      </c>
      <c r="AA17" s="14">
        <f>IF(X17&lt;&gt;"",TODAY()-X17,"")</f>
        <v/>
      </c>
    </row>
    <row r="18">
      <c r="A18" s="4" t="n">
        <v>16</v>
      </c>
      <c r="B18" s="4" t="inlineStr">
        <is>
          <t>Economic</t>
        </is>
      </c>
      <c r="C18" s="4" t="inlineStr">
        <is>
          <t>Lower interest rates (alt)</t>
        </is>
      </c>
      <c r="D18" s="4" t="inlineStr">
        <is>
          <t>Cheaper financing conditions expected</t>
        </is>
      </c>
      <c r="E18" s="4" t="inlineStr">
        <is>
          <t>Central bank outlook</t>
        </is>
      </c>
      <c r="F18" s="4" t="inlineStr">
        <is>
          <t>EU</t>
        </is>
      </c>
      <c r="G18" s="4" t="inlineStr">
        <is>
          <t>Finance / Div2</t>
        </is>
      </c>
      <c r="H18" s="4" t="inlineStr">
        <is>
          <t>1-3y</t>
        </is>
      </c>
      <c r="I18" s="4" t="inlineStr">
        <is>
          <t>Down</t>
        </is>
      </c>
      <c r="J18" s="4" t="inlineStr">
        <is>
          <t>Opportunity</t>
        </is>
      </c>
      <c r="K18" s="4" t="n">
        <v>3</v>
      </c>
      <c r="L18" s="4" t="n">
        <v>3</v>
      </c>
      <c r="M18" s="4">
        <f>K18*L18</f>
        <v/>
      </c>
      <c r="N18" s="4">
        <f>IF(M18&lt;="", "", IF(M18&lt;=PESTEL_Params!$B$3,"Low",IF(M18&lt;=PESTEL_Params!$B$4,"Medium",IF(M18&lt;=PESTEL_Params!$B$5,"High","Critical"))))</f>
        <v/>
      </c>
      <c r="O18" s="4" t="inlineStr">
        <is>
          <t>CFO</t>
        </is>
      </c>
      <c r="P18" s="4" t="inlineStr">
        <is>
          <t>Leverage</t>
        </is>
      </c>
      <c r="Q18" s="4" t="inlineStr">
        <is>
          <t>AP-302</t>
        </is>
      </c>
      <c r="R18" s="13" t="inlineStr">
        <is>
          <t>2025-12-15</t>
        </is>
      </c>
      <c r="S18" s="4" t="inlineStr">
        <is>
          <t>In progress</t>
        </is>
      </c>
      <c r="T18" s="4" t="inlineStr">
        <is>
          <t>Quarterly</t>
        </is>
      </c>
      <c r="U18" s="13">
        <f>IF(T18="Monthly",TODAY()+30,IF(T18="Quarterly",TODAY()+90,IF(T18="Semiannual",TODAY()+180,IF(T18="Annual",TODAY()+365,""))))</f>
        <v/>
      </c>
      <c r="V18" s="14">
        <f>IF(U18&lt;&gt;"",U18-TODAY(),"")</f>
        <v/>
      </c>
      <c r="W18" s="4">
        <f>IF(AND(OR(N18="High",N18="Critical"),S18&lt;&gt;"Closed"),"Yes","No")</f>
        <v/>
      </c>
      <c r="X18" s="13" t="inlineStr">
        <is>
          <t>2025-08-01</t>
        </is>
      </c>
      <c r="Y18" s="4" t="inlineStr">
        <is>
          <t>Refinance capex</t>
        </is>
      </c>
      <c r="Z18" s="4">
        <f>IF(B18="Political","P",IF(B18="Economic","Ec",IF(B18="Social","S",IF(B18="Technological","T",IF(B18="Environmental","En",IF(B18="Legal","L","X")))))))&amp;"-"&amp;TEXT(A18,"0000")</f>
        <v/>
      </c>
      <c r="AA18" s="14">
        <f>IF(X18&lt;&gt;"",TODAY()-X18,"")</f>
        <v/>
      </c>
    </row>
    <row r="19">
      <c r="A19" s="4" t="n">
        <v>17</v>
      </c>
      <c r="B19" s="4" t="inlineStr">
        <is>
          <t>Social</t>
        </is>
      </c>
      <c r="C19" s="4" t="inlineStr">
        <is>
          <t>Talent shortage in data (alt)</t>
        </is>
      </c>
      <c r="D19" s="4" t="inlineStr">
        <is>
          <t>Competition for data engineers</t>
        </is>
      </c>
      <c r="E19" s="4" t="inlineStr">
        <is>
          <t>Recruiting stats</t>
        </is>
      </c>
      <c r="F19" s="4" t="inlineStr">
        <is>
          <t>Local</t>
        </is>
      </c>
      <c r="G19" s="4" t="inlineStr">
        <is>
          <t>HR, IT / Div2</t>
        </is>
      </c>
      <c r="H19" s="4" t="inlineStr">
        <is>
          <t>6-12m</t>
        </is>
      </c>
      <c r="I19" s="4" t="inlineStr">
        <is>
          <t>Up</t>
        </is>
      </c>
      <c r="J19" s="4" t="inlineStr">
        <is>
          <t>Threat</t>
        </is>
      </c>
      <c r="K19" s="4" t="n">
        <v>4</v>
      </c>
      <c r="L19" s="4" t="n">
        <v>4</v>
      </c>
      <c r="M19" s="4">
        <f>K19*L19</f>
        <v/>
      </c>
      <c r="N19" s="4">
        <f>IF(M19&lt;="", "", IF(M19&lt;=PESTEL_Params!$B$3,"Low",IF(M19&lt;=PESTEL_Params!$B$4,"Medium",IF(M19&lt;=PESTEL_Params!$B$5,"High","Critical"))))</f>
        <v/>
      </c>
      <c r="O19" s="4" t="inlineStr">
        <is>
          <t>HR Director</t>
        </is>
      </c>
      <c r="P19" s="4" t="inlineStr">
        <is>
          <t>Mitigate</t>
        </is>
      </c>
      <c r="Q19" s="4" t="inlineStr">
        <is>
          <t>AP-401</t>
        </is>
      </c>
      <c r="R19" s="13" t="inlineStr">
        <is>
          <t>2025-10-05</t>
        </is>
      </c>
      <c r="S19" s="4" t="inlineStr">
        <is>
          <t>In progress</t>
        </is>
      </c>
      <c r="T19" s="4" t="inlineStr">
        <is>
          <t>Quarterly</t>
        </is>
      </c>
      <c r="U19" s="13">
        <f>IF(T19="Monthly",TODAY()+30,IF(T19="Quarterly",TODAY()+90,IF(T19="Semiannual",TODAY()+180,IF(T19="Annual",TODAY()+365,""))))</f>
        <v/>
      </c>
      <c r="V19" s="14">
        <f>IF(U19&lt;&gt;"",U19-TODAY(),"")</f>
        <v/>
      </c>
      <c r="W19" s="4">
        <f>IF(AND(OR(N19="High",N19="Critical"),S19&lt;&gt;"Closed"),"Yes","No")</f>
        <v/>
      </c>
      <c r="X19" s="13" t="inlineStr">
        <is>
          <t>2025-08-12</t>
        </is>
      </c>
      <c r="Y19" s="4" t="inlineStr">
        <is>
          <t>Partnerships with schools</t>
        </is>
      </c>
      <c r="Z19" s="4">
        <f>IF(B19="Political","P",IF(B19="Economic","Ec",IF(B19="Social","S",IF(B19="Technological","T",IF(B19="Environmental","En",IF(B19="Legal","L","X")))))))&amp;"-"&amp;TEXT(A19,"0000")</f>
        <v/>
      </c>
      <c r="AA19" s="14">
        <f>IF(X19&lt;&gt;"",TODAY()-X19,"")</f>
        <v/>
      </c>
    </row>
    <row r="20">
      <c r="A20" s="4" t="n">
        <v>18</v>
      </c>
      <c r="B20" s="4" t="inlineStr">
        <is>
          <t>Social</t>
        </is>
      </c>
      <c r="C20" s="4" t="inlineStr">
        <is>
          <t>Consumer eco-awareness (alt)</t>
        </is>
      </c>
      <c r="D20" s="4" t="inlineStr">
        <is>
          <t>Demand for low-carbon products</t>
        </is>
      </c>
      <c r="E20" s="4" t="inlineStr">
        <is>
          <t>Survey data</t>
        </is>
      </c>
      <c r="F20" s="4" t="inlineStr">
        <is>
          <t>EU</t>
        </is>
      </c>
      <c r="G20" s="4" t="inlineStr">
        <is>
          <t>Marketing / Div2</t>
        </is>
      </c>
      <c r="H20" s="4" t="inlineStr">
        <is>
          <t>1-3y</t>
        </is>
      </c>
      <c r="I20" s="4" t="inlineStr">
        <is>
          <t>Up</t>
        </is>
      </c>
      <c r="J20" s="4" t="inlineStr">
        <is>
          <t>Opportunity</t>
        </is>
      </c>
      <c r="K20" s="4" t="n">
        <v>3</v>
      </c>
      <c r="L20" s="4" t="n">
        <v>4</v>
      </c>
      <c r="M20" s="4">
        <f>K20*L20</f>
        <v/>
      </c>
      <c r="N20" s="4">
        <f>IF(M20&lt;="", "", IF(M20&lt;=PESTEL_Params!$B$3,"Low",IF(M20&lt;=PESTEL_Params!$B$4,"Medium",IF(M20&lt;=PESTEL_Params!$B$5,"High","Critical"))))</f>
        <v/>
      </c>
      <c r="O20" s="4" t="inlineStr">
        <is>
          <t>CMO</t>
        </is>
      </c>
      <c r="P20" s="4" t="inlineStr">
        <is>
          <t>Leverage</t>
        </is>
      </c>
      <c r="Q20" s="4" t="inlineStr">
        <is>
          <t>AP-402</t>
        </is>
      </c>
      <c r="R20" s="13" t="inlineStr">
        <is>
          <t>2025-09-25</t>
        </is>
      </c>
      <c r="S20" s="4" t="inlineStr">
        <is>
          <t>In progress</t>
        </is>
      </c>
      <c r="T20" s="4" t="inlineStr">
        <is>
          <t>Semiannual</t>
        </is>
      </c>
      <c r="U20" s="13">
        <f>IF(T20="Monthly",TODAY()+30,IF(T20="Quarterly",TODAY()+90,IF(T20="Semiannual",TODAY()+180,IF(T20="Annual",TODAY()+365,""))))</f>
        <v/>
      </c>
      <c r="V20" s="14">
        <f>IF(U20&lt;&gt;"",U20-TODAY(),"")</f>
        <v/>
      </c>
      <c r="W20" s="4">
        <f>IF(AND(OR(N20="High",N20="Critical"),S20&lt;&gt;"Closed"),"Yes","No")</f>
        <v/>
      </c>
      <c r="X20" s="13" t="inlineStr">
        <is>
          <t>2025-08-14</t>
        </is>
      </c>
      <c r="Y20" s="4" t="inlineStr">
        <is>
          <t>Green product labeling</t>
        </is>
      </c>
      <c r="Z20" s="4">
        <f>IF(B20="Political","P",IF(B20="Economic","Ec",IF(B20="Social","S",IF(B20="Technological","T",IF(B20="Environmental","En",IF(B20="Legal","L","X")))))))&amp;"-"&amp;TEXT(A20,"0000")</f>
        <v/>
      </c>
      <c r="AA20" s="14">
        <f>IF(X20&lt;&gt;"",TODAY()-X20,"")</f>
        <v/>
      </c>
    </row>
    <row r="21">
      <c r="A21" s="4" t="n">
        <v>19</v>
      </c>
      <c r="B21" s="4" t="inlineStr">
        <is>
          <t>Technological</t>
        </is>
      </c>
      <c r="C21" s="4" t="inlineStr">
        <is>
          <t>AI-enabled automation (alt)</t>
        </is>
      </c>
      <c r="D21" s="4" t="inlineStr">
        <is>
          <t>Mature tools for process automation</t>
        </is>
      </c>
      <c r="E21" s="4" t="inlineStr">
        <is>
          <t>Vendor demos</t>
        </is>
      </c>
      <c r="F21" s="4" t="inlineStr">
        <is>
          <t>Ops</t>
        </is>
      </c>
      <c r="G21" s="4" t="inlineStr">
        <is>
          <t>Ops, IT / Div2</t>
        </is>
      </c>
      <c r="H21" s="4" t="inlineStr">
        <is>
          <t>6-12m</t>
        </is>
      </c>
      <c r="I21" s="4" t="inlineStr">
        <is>
          <t>Up</t>
        </is>
      </c>
      <c r="J21" s="4" t="inlineStr">
        <is>
          <t>Opportunity</t>
        </is>
      </c>
      <c r="K21" s="4" t="n">
        <v>4</v>
      </c>
      <c r="L21" s="4" t="n">
        <v>4</v>
      </c>
      <c r="M21" s="4">
        <f>K21*L21</f>
        <v/>
      </c>
      <c r="N21" s="4">
        <f>IF(M21&lt;="", "", IF(M21&lt;=PESTEL_Params!$B$3,"Low",IF(M21&lt;=PESTEL_Params!$B$4,"Medium",IF(M21&lt;=PESTEL_Params!$B$5,"High","Critical"))))</f>
        <v/>
      </c>
      <c r="O21" s="4" t="inlineStr">
        <is>
          <t>COO</t>
        </is>
      </c>
      <c r="P21" s="4" t="inlineStr">
        <is>
          <t>Leverage</t>
        </is>
      </c>
      <c r="Q21" s="4" t="inlineStr">
        <is>
          <t>AP-501</t>
        </is>
      </c>
      <c r="R21" s="13" t="inlineStr">
        <is>
          <t>2025-10-20</t>
        </is>
      </c>
      <c r="S21" s="4" t="inlineStr">
        <is>
          <t>In progress</t>
        </is>
      </c>
      <c r="T21" s="4" t="inlineStr">
        <is>
          <t>Quarterly</t>
        </is>
      </c>
      <c r="U21" s="13">
        <f>IF(T21="Monthly",TODAY()+30,IF(T21="Quarterly",TODAY()+90,IF(T21="Semiannual",TODAY()+180,IF(T21="Annual",TODAY()+365,""))))</f>
        <v/>
      </c>
      <c r="V21" s="14">
        <f>IF(U21&lt;&gt;"",U21-TODAY(),"")</f>
        <v/>
      </c>
      <c r="W21" s="4">
        <f>IF(AND(OR(N21="High",N21="Critical"),S21&lt;&gt;"Closed"),"Yes","No")</f>
        <v/>
      </c>
      <c r="X21" s="13" t="inlineStr">
        <is>
          <t>2025-08-20</t>
        </is>
      </c>
      <c r="Y21" s="4" t="inlineStr">
        <is>
          <t>Pilot RPA/AI in back-office</t>
        </is>
      </c>
      <c r="Z21" s="4">
        <f>IF(B21="Political","P",IF(B21="Economic","Ec",IF(B21="Social","S",IF(B21="Technological","T",IF(B21="Environmental","En",IF(B21="Legal","L","X")))))))&amp;"-"&amp;TEXT(A21,"0000")</f>
        <v/>
      </c>
      <c r="AA21" s="14">
        <f>IF(X21&lt;&gt;"",TODAY()-X21,"")</f>
        <v/>
      </c>
    </row>
    <row r="22">
      <c r="A22" s="4" t="n">
        <v>20</v>
      </c>
      <c r="B22" s="4" t="inlineStr">
        <is>
          <t>Technological</t>
        </is>
      </c>
      <c r="C22" s="4" t="inlineStr">
        <is>
          <t>Legacy ERP constraints (alt)</t>
        </is>
      </c>
      <c r="D22" s="4" t="inlineStr">
        <is>
          <t>Customization limits and maintenance costs</t>
        </is>
      </c>
      <c r="E22" s="4" t="inlineStr">
        <is>
          <t>IT audit</t>
        </is>
      </c>
      <c r="F22" s="4" t="inlineStr">
        <is>
          <t>HQ</t>
        </is>
      </c>
      <c r="G22" s="4" t="inlineStr">
        <is>
          <t>IT / Div2</t>
        </is>
      </c>
      <c r="H22" s="4" t="inlineStr">
        <is>
          <t>1-3y</t>
        </is>
      </c>
      <c r="I22" s="4" t="inlineStr">
        <is>
          <t>Stable</t>
        </is>
      </c>
      <c r="J22" s="4" t="inlineStr">
        <is>
          <t>Threat</t>
        </is>
      </c>
      <c r="K22" s="4" t="n">
        <v>3</v>
      </c>
      <c r="L22" s="4" t="n">
        <v>3</v>
      </c>
      <c r="M22" s="4">
        <f>K22*L22</f>
        <v/>
      </c>
      <c r="N22" s="4">
        <f>IF(M22&lt;="", "", IF(M22&lt;=PESTEL_Params!$B$3,"Low",IF(M22&lt;=PESTEL_Params!$B$4,"Medium",IF(M22&lt;=PESTEL_Params!$B$5,"High","Critical"))))</f>
        <v/>
      </c>
      <c r="O22" s="4" t="inlineStr">
        <is>
          <t>CIO</t>
        </is>
      </c>
      <c r="P22" s="4" t="inlineStr">
        <is>
          <t>Mitigate</t>
        </is>
      </c>
      <c r="Q22" s="4" t="inlineStr">
        <is>
          <t>AP-502</t>
        </is>
      </c>
      <c r="R22" s="13" t="inlineStr">
        <is>
          <t>2025-11-10</t>
        </is>
      </c>
      <c r="S22" s="4" t="inlineStr">
        <is>
          <t>In progress</t>
        </is>
      </c>
      <c r="T22" s="4" t="inlineStr">
        <is>
          <t>Quarterly</t>
        </is>
      </c>
      <c r="U22" s="13">
        <f>IF(T22="Monthly",TODAY()+30,IF(T22="Quarterly",TODAY()+90,IF(T22="Semiannual",TODAY()+180,IF(T22="Annual",TODAY()+365,""))))</f>
        <v/>
      </c>
      <c r="V22" s="14">
        <f>IF(U22&lt;&gt;"",U22-TODAY(),"")</f>
        <v/>
      </c>
      <c r="W22" s="4">
        <f>IF(AND(OR(N22="High",N22="Critical"),S22&lt;&gt;"Closed"),"Yes","No")</f>
        <v/>
      </c>
      <c r="X22" s="13" t="inlineStr">
        <is>
          <t>2025-08-16</t>
        </is>
      </c>
      <c r="Y22" s="4" t="inlineStr">
        <is>
          <t>Roadmap to modernize</t>
        </is>
      </c>
      <c r="Z22" s="4">
        <f>IF(B22="Political","P",IF(B22="Economic","Ec",IF(B22="Social","S",IF(B22="Technological","T",IF(B22="Environmental","En",IF(B22="Legal","L","X")))))))&amp;"-"&amp;TEXT(A22,"0000")</f>
        <v/>
      </c>
      <c r="AA22" s="14">
        <f>IF(X22&lt;&gt;"",TODAY()-X22,"")</f>
        <v/>
      </c>
    </row>
    <row r="23">
      <c r="A23" s="4" t="n">
        <v>21</v>
      </c>
      <c r="B23" s="4" t="inlineStr">
        <is>
          <t>Environmental</t>
        </is>
      </c>
      <c r="C23" s="4" t="inlineStr">
        <is>
          <t>Tighter emissions caps (alt)</t>
        </is>
      </c>
      <c r="D23" s="4" t="inlineStr">
        <is>
          <t>Stricter ETS phase</t>
        </is>
      </c>
      <c r="E23" s="4" t="inlineStr">
        <is>
          <t>Regulator note</t>
        </is>
      </c>
      <c r="F23" s="4" t="inlineStr">
        <is>
          <t>EU</t>
        </is>
      </c>
      <c r="G23" s="4" t="inlineStr">
        <is>
          <t>Plants / Div2</t>
        </is>
      </c>
      <c r="H23" s="4" t="inlineStr">
        <is>
          <t>1-3y</t>
        </is>
      </c>
      <c r="I23" s="4" t="inlineStr">
        <is>
          <t>Up</t>
        </is>
      </c>
      <c r="J23" s="4" t="inlineStr">
        <is>
          <t>Threat</t>
        </is>
      </c>
      <c r="K23" s="4" t="n">
        <v>5</v>
      </c>
      <c r="L23" s="4" t="n">
        <v>4</v>
      </c>
      <c r="M23" s="4">
        <f>K23*L23</f>
        <v/>
      </c>
      <c r="N23" s="4">
        <f>IF(M23&lt;="", "", IF(M23&lt;=PESTEL_Params!$B$3,"Low",IF(M23&lt;=PESTEL_Params!$B$4,"Medium",IF(M23&lt;=PESTEL_Params!$B$5,"High","Critical"))))</f>
        <v/>
      </c>
      <c r="O23" s="4" t="inlineStr">
        <is>
          <t>Plant Manager</t>
        </is>
      </c>
      <c r="P23" s="4" t="inlineStr">
        <is>
          <t>Mitigate</t>
        </is>
      </c>
      <c r="Q23" s="4" t="inlineStr">
        <is>
          <t>AP-601</t>
        </is>
      </c>
      <c r="R23" s="13" t="inlineStr">
        <is>
          <t>2025-09-18</t>
        </is>
      </c>
      <c r="S23" s="4" t="inlineStr">
        <is>
          <t>In progress</t>
        </is>
      </c>
      <c r="T23" s="4" t="inlineStr">
        <is>
          <t>Quarterly</t>
        </is>
      </c>
      <c r="U23" s="13">
        <f>IF(T23="Monthly",TODAY()+30,IF(T23="Quarterly",TODAY()+90,IF(T23="Semiannual",TODAY()+180,IF(T23="Annual",TODAY()+365,""))))</f>
        <v/>
      </c>
      <c r="V23" s="14">
        <f>IF(U23&lt;&gt;"",U23-TODAY(),"")</f>
        <v/>
      </c>
      <c r="W23" s="4">
        <f>IF(AND(OR(N23="High",N23="Critical"),S23&lt;&gt;"Closed"),"Yes","No")</f>
        <v/>
      </c>
      <c r="X23" s="13" t="inlineStr">
        <is>
          <t>2025-08-22</t>
        </is>
      </c>
      <c r="Y23" s="4" t="inlineStr">
        <is>
          <t>Capex for abatement</t>
        </is>
      </c>
      <c r="Z23" s="4">
        <f>IF(B23="Political","P",IF(B23="Economic","Ec",IF(B23="Social","S",IF(B23="Technological","T",IF(B23="Environmental","En",IF(B23="Legal","L","X")))))))&amp;"-"&amp;TEXT(A23,"0000")</f>
        <v/>
      </c>
      <c r="AA23" s="14">
        <f>IF(X23&lt;&gt;"",TODAY()-X23,"")</f>
        <v/>
      </c>
    </row>
    <row r="24">
      <c r="A24" s="4" t="n">
        <v>22</v>
      </c>
      <c r="B24" s="4" t="inlineStr">
        <is>
          <t>Environmental</t>
        </is>
      </c>
      <c r="C24" s="4" t="inlineStr">
        <is>
          <t>Renewable energy incentives (alt)</t>
        </is>
      </c>
      <c r="D24" s="4" t="inlineStr">
        <is>
          <t>Accelerated depreciation for solar</t>
        </is>
      </c>
      <c r="E24" s="4" t="inlineStr">
        <is>
          <t>Gov circular</t>
        </is>
      </c>
      <c r="F24" s="4" t="inlineStr">
        <is>
          <t>National</t>
        </is>
      </c>
      <c r="G24" s="4" t="inlineStr">
        <is>
          <t>All sites / Div2</t>
        </is>
      </c>
      <c r="H24" s="4" t="inlineStr">
        <is>
          <t>6-12m</t>
        </is>
      </c>
      <c r="I24" s="4" t="inlineStr">
        <is>
          <t>Stable</t>
        </is>
      </c>
      <c r="J24" s="4" t="inlineStr">
        <is>
          <t>Opportunity</t>
        </is>
      </c>
      <c r="K24" s="4" t="n">
        <v>3</v>
      </c>
      <c r="L24" s="4" t="n">
        <v>4</v>
      </c>
      <c r="M24" s="4">
        <f>K24*L24</f>
        <v/>
      </c>
      <c r="N24" s="4">
        <f>IF(M24&lt;="", "", IF(M24&lt;=PESTEL_Params!$B$3,"Low",IF(M24&lt;=PESTEL_Params!$B$4,"Medium",IF(M24&lt;=PESTEL_Params!$B$5,"High","Critical"))))</f>
        <v/>
      </c>
      <c r="O24" s="4" t="inlineStr">
        <is>
          <t>Energy Manager</t>
        </is>
      </c>
      <c r="P24" s="4" t="inlineStr">
        <is>
          <t>Leverage</t>
        </is>
      </c>
      <c r="Q24" s="4" t="inlineStr">
        <is>
          <t>AP-602</t>
        </is>
      </c>
      <c r="R24" s="13" t="inlineStr">
        <is>
          <t>2025-10-30</t>
        </is>
      </c>
      <c r="S24" s="4" t="inlineStr">
        <is>
          <t>In progress</t>
        </is>
      </c>
      <c r="T24" s="4" t="inlineStr">
        <is>
          <t>Semiannual</t>
        </is>
      </c>
      <c r="U24" s="13">
        <f>IF(T24="Monthly",TODAY()+30,IF(T24="Quarterly",TODAY()+90,IF(T24="Semiannual",TODAY()+180,IF(T24="Annual",TODAY()+365,""))))</f>
        <v/>
      </c>
      <c r="V24" s="14">
        <f>IF(U24&lt;&gt;"",U24-TODAY(),"")</f>
        <v/>
      </c>
      <c r="W24" s="4">
        <f>IF(AND(OR(N24="High",N24="Critical"),S24&lt;&gt;"Closed"),"Yes","No")</f>
        <v/>
      </c>
      <c r="X24" s="13" t="inlineStr">
        <is>
          <t>2025-08-07</t>
        </is>
      </c>
      <c r="Y24" s="4" t="inlineStr">
        <is>
          <t>Solar PPA assessment</t>
        </is>
      </c>
      <c r="Z24" s="4">
        <f>IF(B24="Political","P",IF(B24="Economic","Ec",IF(B24="Social","S",IF(B24="Technological","T",IF(B24="Environmental","En",IF(B24="Legal","L","X")))))))&amp;"-"&amp;TEXT(A24,"0000")</f>
        <v/>
      </c>
      <c r="AA24" s="14">
        <f>IF(X24&lt;&gt;"",TODAY()-X24,"")</f>
        <v/>
      </c>
    </row>
    <row r="25">
      <c r="A25" s="4" t="n">
        <v>23</v>
      </c>
      <c r="B25" s="4" t="inlineStr">
        <is>
          <t>Legal</t>
        </is>
      </c>
      <c r="C25" s="4" t="inlineStr">
        <is>
          <t>Privacy regulation update (alt)</t>
        </is>
      </c>
      <c r="D25" s="4" t="inlineStr">
        <is>
          <t>Stronger consent requirements</t>
        </is>
      </c>
      <c r="E25" s="4" t="inlineStr">
        <is>
          <t>DP authority note</t>
        </is>
      </c>
      <c r="F25" s="4" t="inlineStr">
        <is>
          <t>EU</t>
        </is>
      </c>
      <c r="G25" s="4" t="inlineStr">
        <is>
          <t>Legal, Marketing / Div2</t>
        </is>
      </c>
      <c r="H25" s="4" t="inlineStr">
        <is>
          <t>6-12m</t>
        </is>
      </c>
      <c r="I25" s="4" t="inlineStr">
        <is>
          <t>Up</t>
        </is>
      </c>
      <c r="J25" s="4" t="inlineStr">
        <is>
          <t>Threat</t>
        </is>
      </c>
      <c r="K25" s="4" t="n">
        <v>4</v>
      </c>
      <c r="L25" s="4" t="n">
        <v>4</v>
      </c>
      <c r="M25" s="4">
        <f>K25*L25</f>
        <v/>
      </c>
      <c r="N25" s="4">
        <f>IF(M25&lt;="", "", IF(M25&lt;=PESTEL_Params!$B$3,"Low",IF(M25&lt;=PESTEL_Params!$B$4,"Medium",IF(M25&lt;=PESTEL_Params!$B$5,"High","Critical"))))</f>
        <v/>
      </c>
      <c r="O25" s="4" t="inlineStr">
        <is>
          <t>DPO</t>
        </is>
      </c>
      <c r="P25" s="4" t="inlineStr">
        <is>
          <t>Mitigate</t>
        </is>
      </c>
      <c r="Q25" s="4" t="inlineStr">
        <is>
          <t>AP-701</t>
        </is>
      </c>
      <c r="R25" s="13" t="inlineStr">
        <is>
          <t>2025-09-12</t>
        </is>
      </c>
      <c r="S25" s="4" t="inlineStr">
        <is>
          <t>In progress</t>
        </is>
      </c>
      <c r="T25" s="4" t="inlineStr">
        <is>
          <t>Quarterly</t>
        </is>
      </c>
      <c r="U25" s="13">
        <f>IF(T25="Monthly",TODAY()+30,IF(T25="Quarterly",TODAY()+90,IF(T25="Semiannual",TODAY()+180,IF(T25="Annual",TODAY()+365,""))))</f>
        <v/>
      </c>
      <c r="V25" s="14">
        <f>IF(U25&lt;&gt;"",U25-TODAY(),"")</f>
        <v/>
      </c>
      <c r="W25" s="4">
        <f>IF(AND(OR(N25="High",N25="Critical"),S25&lt;&gt;"Closed"),"Yes","No")</f>
        <v/>
      </c>
      <c r="X25" s="13" t="inlineStr">
        <is>
          <t>2025-08-25</t>
        </is>
      </c>
      <c r="Y25" s="4" t="inlineStr">
        <is>
          <t>Consent framework redesign</t>
        </is>
      </c>
      <c r="Z25" s="4">
        <f>IF(B25="Political","P",IF(B25="Economic","Ec",IF(B25="Social","S",IF(B25="Technological","T",IF(B25="Environmental","En",IF(B25="Legal","L","X")))))))&amp;"-"&amp;TEXT(A25,"0000")</f>
        <v/>
      </c>
      <c r="AA25" s="14">
        <f>IF(X25&lt;&gt;"",TODAY()-X25,"")</f>
        <v/>
      </c>
    </row>
    <row r="26">
      <c r="A26" s="4" t="n">
        <v>24</v>
      </c>
      <c r="B26" s="4" t="inlineStr">
        <is>
          <t>Legal</t>
        </is>
      </c>
      <c r="C26" s="4" t="inlineStr">
        <is>
          <t>Whistleblowing protections (alt)</t>
        </is>
      </c>
      <c r="D26" s="4" t="inlineStr">
        <is>
          <t>Expanded scope &amp; deadlines</t>
        </is>
      </c>
      <c r="E26" s="4" t="inlineStr">
        <is>
          <t>Official bulletin</t>
        </is>
      </c>
      <c r="F26" s="4" t="inlineStr">
        <is>
          <t>National</t>
        </is>
      </c>
      <c r="G26" s="4" t="inlineStr">
        <is>
          <t>HR, Legal / Div2</t>
        </is>
      </c>
      <c r="H26" s="4" t="inlineStr">
        <is>
          <t>Now</t>
        </is>
      </c>
      <c r="I26" s="4" t="inlineStr">
        <is>
          <t>Stable</t>
        </is>
      </c>
      <c r="J26" s="4" t="inlineStr">
        <is>
          <t>Threat</t>
        </is>
      </c>
      <c r="K26" s="4" t="n">
        <v>3</v>
      </c>
      <c r="L26" s="4" t="n">
        <v>3</v>
      </c>
      <c r="M26" s="4">
        <f>K26*L26</f>
        <v/>
      </c>
      <c r="N26" s="4">
        <f>IF(M26&lt;="", "", IF(M26&lt;=PESTEL_Params!$B$3,"Low",IF(M26&lt;=PESTEL_Params!$B$4,"Medium",IF(M26&lt;=PESTEL_Params!$B$5,"High","Critical"))))</f>
        <v/>
      </c>
      <c r="O26" s="4" t="inlineStr">
        <is>
          <t>Legal Counsel</t>
        </is>
      </c>
      <c r="P26" s="4" t="inlineStr">
        <is>
          <t>Mitigate</t>
        </is>
      </c>
      <c r="Q26" s="4" t="inlineStr">
        <is>
          <t>AP-702</t>
        </is>
      </c>
      <c r="R26" s="13" t="inlineStr">
        <is>
          <t>2025-08-31</t>
        </is>
      </c>
      <c r="S26" s="4" t="inlineStr">
        <is>
          <t>Open</t>
        </is>
      </c>
      <c r="T26" s="4" t="inlineStr">
        <is>
          <t>Monthly</t>
        </is>
      </c>
      <c r="U26" s="13">
        <f>IF(T26="Monthly",TODAY()+30,IF(T26="Quarterly",TODAY()+90,IF(T26="Semiannual",TODAY()+180,IF(T26="Annual",TODAY()+365,""))))</f>
        <v/>
      </c>
      <c r="V26" s="14">
        <f>IF(U26&lt;&gt;"",U26-TODAY(),"")</f>
        <v/>
      </c>
      <c r="W26" s="4">
        <f>IF(AND(OR(N26="High",N26="Critical"),S26&lt;&gt;"Closed"),"Yes","No")</f>
        <v/>
      </c>
      <c r="X26" s="13" t="inlineStr">
        <is>
          <t>2025-08-19</t>
        </is>
      </c>
      <c r="Y26" s="4" t="inlineStr">
        <is>
          <t>Update policy &amp; channel</t>
        </is>
      </c>
      <c r="Z26" s="4">
        <f>IF(B26="Political","P",IF(B26="Economic","Ec",IF(B26="Social","S",IF(B26="Technological","T",IF(B26="Environmental","En",IF(B26="Legal","L","X")))))))&amp;"-"&amp;TEXT(A26,"0000")</f>
        <v/>
      </c>
      <c r="AA26" s="14">
        <f>IF(X26&lt;&gt;"",TODAY()-X26,"")</f>
        <v/>
      </c>
    </row>
  </sheetData>
  <mergeCells count="1">
    <mergeCell ref="A1:AA1"/>
  </mergeCells>
  <conditionalFormatting sqref="N3:N9999">
    <cfRule type="expression" priority="1" dxfId="0">
      <formula>$N3="Critical"</formula>
    </cfRule>
    <cfRule type="expression" priority="2" dxfId="1">
      <formula>$N3="High"</formula>
    </cfRule>
    <cfRule type="expression" priority="3" dxfId="2">
      <formula>$N3="Medium"</formula>
    </cfRule>
    <cfRule type="expression" priority="4" dxfId="3">
      <formula>$N3="Low"</formula>
    </cfRule>
  </conditionalFormatting>
  <conditionalFormatting sqref="A3:AA9999">
    <cfRule type="expression" priority="5" dxfId="0">
      <formula>AND($S3&lt;&gt;"Closed",$R3&lt;TODAY())</formula>
    </cfRule>
    <cfRule type="expression" priority="6" dxfId="2">
      <formula>$V3&lt;=7</formula>
    </cfRule>
    <cfRule type="expression" priority="7" dxfId="1">
      <formula>$W3="Yes"</formula>
    </cfRule>
  </conditionalFormatting>
  <dataValidations count="8">
    <dataValidation sqref="B3:B9999" showErrorMessage="1" showInputMessage="1" allowBlank="1" type="list">
      <formula1>"Political,Economic,Social,Technological,Environmental,Legal"</formula1>
    </dataValidation>
    <dataValidation sqref="H3:H9999" showErrorMessage="1" showInputMessage="1" allowBlank="1" type="list">
      <formula1>"Now,6-12m,1-3y,3+y"</formula1>
    </dataValidation>
    <dataValidation sqref="I3:I9999" showErrorMessage="1" showInputMessage="1" allowBlank="1" type="list">
      <formula1>"Up,Stable,Down"</formula1>
    </dataValidation>
    <dataValidation sqref="J3:J9999" showErrorMessage="1" showInputMessage="1" allowBlank="1" type="list">
      <formula1>"Opportunity,Threat,Both"</formula1>
    </dataValidation>
    <dataValidation sqref="K3:K9999 L3:L9999" showErrorMessage="1" showInputMessage="1" allowBlank="1" type="whole" operator="between">
      <formula1>1</formula1>
      <formula2>5</formula2>
    </dataValidation>
    <dataValidation sqref="P3:P9999" showErrorMessage="1" showInputMessage="1" allowBlank="1" type="list">
      <formula1>"Monitor,Mitigate,Leverage,Transfer,Accept"</formula1>
    </dataValidation>
    <dataValidation sqref="S3:S9999" showErrorMessage="1" showInputMessage="1" allowBlank="1" type="list">
      <formula1>"Open,In progress,Closed,Deferred"</formula1>
    </dataValidation>
    <dataValidation sqref="T3:T9999" showErrorMessage="1" showInputMessage="1" allowBlank="1" type="list">
      <formula1>"Monthly,Quarterly,Semiannual,Annual"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17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38" customWidth="1" min="3" max="3"/>
    <col width="18" customWidth="1" min="4" max="4"/>
    <col width="16" customWidth="1" min="5" max="5"/>
    <col width="14" customWidth="1" min="6" max="6"/>
    <col width="14" customWidth="1" min="7" max="7"/>
    <col width="16" customWidth="1" min="8" max="8"/>
    <col width="28" customWidth="1" min="9" max="9"/>
    <col width="14" customWidth="1" min="10" max="10"/>
    <col width="14" customWidth="1" min="11" max="11"/>
    <col width="12" customWidth="1" min="12" max="12"/>
    <col width="16" customWidth="1" min="13" max="13"/>
  </cols>
  <sheetData>
    <row r="1">
      <c r="A1" s="2" t="inlineStr">
        <is>
          <t>Actions — PESTEL Response &amp; Execution</t>
        </is>
      </c>
    </row>
    <row r="2">
      <c r="A2" s="3" t="inlineStr">
        <is>
          <t>Action ID</t>
        </is>
      </c>
      <c r="B2" s="3" t="inlineStr">
        <is>
          <t>Factor ID</t>
        </is>
      </c>
      <c r="C2" s="3" t="inlineStr">
        <is>
          <t>Action</t>
        </is>
      </c>
      <c r="D2" s="3" t="inlineStr">
        <is>
          <t>Owner</t>
        </is>
      </c>
      <c r="E2" s="3" t="inlineStr">
        <is>
          <t>Priority</t>
        </is>
      </c>
      <c r="F2" s="3" t="inlineStr">
        <is>
          <t>Due Date</t>
        </is>
      </c>
      <c r="G2" s="3" t="inlineStr">
        <is>
          <t>% Complete</t>
        </is>
      </c>
      <c r="H2" s="3" t="inlineStr">
        <is>
          <t>Status</t>
        </is>
      </c>
      <c r="I2" s="3" t="inlineStr">
        <is>
          <t>Comment</t>
        </is>
      </c>
      <c r="J2" s="3" t="inlineStr">
        <is>
          <t>Closed Date</t>
        </is>
      </c>
      <c r="K2" s="3" t="inlineStr">
        <is>
          <t>Days Remaining</t>
        </is>
      </c>
      <c r="L2" s="3" t="inlineStr">
        <is>
          <t>Overdue?</t>
        </is>
      </c>
      <c r="M2" s="3" t="inlineStr">
        <is>
          <t>Health</t>
        </is>
      </c>
    </row>
    <row r="3">
      <c r="A3" s="4" t="inlineStr">
        <is>
          <t>AP-101</t>
        </is>
      </c>
      <c r="B3" s="4" t="n">
        <v>1</v>
      </c>
      <c r="C3" s="4" t="inlineStr">
        <is>
          <t>Assess data residency &amp; options</t>
        </is>
      </c>
      <c r="D3" s="4" t="inlineStr">
        <is>
          <t>CIO</t>
        </is>
      </c>
      <c r="E3" s="4" t="inlineStr">
        <is>
          <t>High</t>
        </is>
      </c>
      <c r="F3" s="13" t="inlineStr">
        <is>
          <t>2025-10-15</t>
        </is>
      </c>
      <c r="G3" s="15" t="n">
        <v>0.2</v>
      </c>
      <c r="H3" s="4" t="inlineStr">
        <is>
          <t>Open</t>
        </is>
      </c>
      <c r="I3" s="4" t="inlineStr">
        <is>
          <t>Map data flows</t>
        </is>
      </c>
      <c r="J3" s="13" t="inlineStr"/>
      <c r="K3" s="14">
        <f>IF(F3&lt;&gt;"",F3-TODAY(),"")</f>
        <v/>
      </c>
      <c r="L3" s="4">
        <f>IF(AND(H3&lt;&gt;"Closed",F3&lt;TODAY()),"Yes","No")</f>
        <v/>
      </c>
      <c r="M3" s="16">
        <f>IF(L3="Yes","Late",IF(AND(H3="In progress",G3&lt;0.5,F3-TODAY()&lt;=7),"At Risk","On Track"))</f>
        <v/>
      </c>
    </row>
    <row r="4">
      <c r="A4" s="4" t="inlineStr">
        <is>
          <t>AP-201</t>
        </is>
      </c>
      <c r="B4" s="4" t="n">
        <v>2</v>
      </c>
      <c r="C4" s="4" t="inlineStr">
        <is>
          <t>Prepare funding dossier</t>
        </is>
      </c>
      <c r="D4" s="4" t="inlineStr">
        <is>
          <t>Sustainability Lead</t>
        </is>
      </c>
      <c r="E4" s="4" t="inlineStr">
        <is>
          <t>Medium</t>
        </is>
      </c>
      <c r="F4" s="13" t="inlineStr">
        <is>
          <t>2025-11-30</t>
        </is>
      </c>
      <c r="G4" s="15" t="n">
        <v>0.1</v>
      </c>
      <c r="H4" s="4" t="inlineStr">
        <is>
          <t>Open</t>
        </is>
      </c>
      <c r="I4" s="4" t="inlineStr">
        <is>
          <t>Gather docs</t>
        </is>
      </c>
      <c r="J4" s="13" t="inlineStr"/>
      <c r="K4" s="14">
        <f>IF(F4&lt;&gt;"",F4-TODAY(),"")</f>
        <v/>
      </c>
      <c r="L4" s="4">
        <f>IF(AND(H4&lt;&gt;"Closed",F4&lt;TODAY()),"Yes","No")</f>
        <v/>
      </c>
      <c r="M4" s="16">
        <f>IF(L4="Yes","Late",IF(AND(H4="In progress",G4&lt;0.5,F4-TODAY()&lt;=7),"At Risk","On Track"))</f>
        <v/>
      </c>
    </row>
    <row r="5">
      <c r="A5" s="4" t="inlineStr">
        <is>
          <t>AP-301</t>
        </is>
      </c>
      <c r="B5" s="4" t="n">
        <v>3</v>
      </c>
      <c r="C5" s="4" t="inlineStr">
        <is>
          <t>Execute hedging program</t>
        </is>
      </c>
      <c r="D5" s="4" t="inlineStr">
        <is>
          <t>Treasurer</t>
        </is>
      </c>
      <c r="E5" s="4" t="inlineStr">
        <is>
          <t>High</t>
        </is>
      </c>
      <c r="F5" s="13" t="inlineStr">
        <is>
          <t>2025-09-30</t>
        </is>
      </c>
      <c r="G5" s="15" t="n">
        <v>0.5</v>
      </c>
      <c r="H5" s="4" t="inlineStr">
        <is>
          <t>In progress</t>
        </is>
      </c>
      <c r="I5" s="4" t="inlineStr">
        <is>
          <t>Forward contracts</t>
        </is>
      </c>
      <c r="J5" s="13" t="inlineStr"/>
      <c r="K5" s="14">
        <f>IF(F5&lt;&gt;"",F5-TODAY(),"")</f>
        <v/>
      </c>
      <c r="L5" s="4">
        <f>IF(AND(H5&lt;&gt;"Closed",F5&lt;TODAY()),"Yes","No")</f>
        <v/>
      </c>
      <c r="M5" s="16">
        <f>IF(L5="Yes","Late",IF(AND(H5="In progress",G5&lt;0.5,F5-TODAY()&lt;=7),"At Risk","On Track"))</f>
        <v/>
      </c>
    </row>
    <row r="6">
      <c r="A6" s="4" t="inlineStr">
        <is>
          <t>AP-402</t>
        </is>
      </c>
      <c r="B6" s="4" t="n">
        <v>6</v>
      </c>
      <c r="C6" s="4" t="inlineStr">
        <is>
          <t>Launch green labeling</t>
        </is>
      </c>
      <c r="D6" s="4" t="inlineStr">
        <is>
          <t>CMO</t>
        </is>
      </c>
      <c r="E6" s="4" t="inlineStr">
        <is>
          <t>High</t>
        </is>
      </c>
      <c r="F6" s="13" t="inlineStr">
        <is>
          <t>2025-09-25</t>
        </is>
      </c>
      <c r="G6" s="15" t="n">
        <v>0.2</v>
      </c>
      <c r="H6" s="4" t="inlineStr">
        <is>
          <t>Open</t>
        </is>
      </c>
      <c r="I6" s="4" t="inlineStr">
        <is>
          <t>Design labels</t>
        </is>
      </c>
      <c r="J6" s="13" t="inlineStr"/>
      <c r="K6" s="14">
        <f>IF(F6&lt;&gt;"",F6-TODAY(),"")</f>
        <v/>
      </c>
      <c r="L6" s="4">
        <f>IF(AND(H6&lt;&gt;"Closed",F6&lt;TODAY()),"Yes","No")</f>
        <v/>
      </c>
      <c r="M6" s="16">
        <f>IF(L6="Yes","Late",IF(AND(H6="In progress",G6&lt;0.5,F6-TODAY()&lt;=7),"At Risk","On Track"))</f>
        <v/>
      </c>
    </row>
    <row r="7">
      <c r="A7" s="4" t="inlineStr">
        <is>
          <t>AP-601</t>
        </is>
      </c>
      <c r="B7" s="4" t="n">
        <v>9</v>
      </c>
      <c r="C7" s="4" t="inlineStr">
        <is>
          <t>Plan abatement capex</t>
        </is>
      </c>
      <c r="D7" s="4" t="inlineStr">
        <is>
          <t>Plant Manager</t>
        </is>
      </c>
      <c r="E7" s="4" t="inlineStr">
        <is>
          <t>Critical</t>
        </is>
      </c>
      <c r="F7" s="13" t="inlineStr">
        <is>
          <t>2025-09-18</t>
        </is>
      </c>
      <c r="G7" s="15" t="n">
        <v>0.3</v>
      </c>
      <c r="H7" s="4" t="inlineStr">
        <is>
          <t>Open</t>
        </is>
      </c>
      <c r="I7" s="4" t="inlineStr">
        <is>
          <t>Vendor shortlist</t>
        </is>
      </c>
      <c r="J7" s="13" t="inlineStr"/>
      <c r="K7" s="14">
        <f>IF(F7&lt;&gt;"",F7-TODAY(),"")</f>
        <v/>
      </c>
      <c r="L7" s="4">
        <f>IF(AND(H7&lt;&gt;"Closed",F7&lt;TODAY()),"Yes","No")</f>
        <v/>
      </c>
      <c r="M7" s="16">
        <f>IF(L7="Yes","Late",IF(AND(H7="In progress",G7&lt;0.5,F7-TODAY()&lt;=7),"At Risk","On Track"))</f>
        <v/>
      </c>
    </row>
    <row r="8">
      <c r="A8" s="4" t="inlineStr">
        <is>
          <t>AP-701</t>
        </is>
      </c>
      <c r="B8" s="4" t="n">
        <v>11</v>
      </c>
      <c r="C8" s="4" t="inlineStr">
        <is>
          <t>Redesign consent framework</t>
        </is>
      </c>
      <c r="D8" s="4" t="inlineStr">
        <is>
          <t>DPO</t>
        </is>
      </c>
      <c r="E8" s="4" t="inlineStr">
        <is>
          <t>High</t>
        </is>
      </c>
      <c r="F8" s="13" t="inlineStr">
        <is>
          <t>2025-09-12</t>
        </is>
      </c>
      <c r="G8" s="15" t="n">
        <v>0.4</v>
      </c>
      <c r="H8" s="4" t="inlineStr">
        <is>
          <t>In progress</t>
        </is>
      </c>
      <c r="I8" s="4" t="inlineStr">
        <is>
          <t>Templates drafted</t>
        </is>
      </c>
      <c r="J8" s="13" t="inlineStr"/>
      <c r="K8" s="14">
        <f>IF(F8&lt;&gt;"",F8-TODAY(),"")</f>
        <v/>
      </c>
      <c r="L8" s="4">
        <f>IF(AND(H8&lt;&gt;"Closed",F8&lt;TODAY()),"Yes","No")</f>
        <v/>
      </c>
      <c r="M8" s="16">
        <f>IF(L8="Yes","Late",IF(AND(H8="In progress",G8&lt;0.5,F8-TODAY()&lt;=7),"At Risk","On Track"))</f>
        <v/>
      </c>
    </row>
    <row r="9">
      <c r="A9" s="4" t="inlineStr">
        <is>
          <t>AP-807</t>
        </is>
      </c>
      <c r="B9" s="4" t="n">
        <v>8</v>
      </c>
      <c r="C9" s="4" t="inlineStr">
        <is>
          <t>Generic PESTEL action 7</t>
        </is>
      </c>
      <c r="D9" s="4" t="inlineStr">
        <is>
          <t>Owner 7</t>
        </is>
      </c>
      <c r="E9" s="4" t="inlineStr">
        <is>
          <t>Medium</t>
        </is>
      </c>
      <c r="F9" s="13" t="inlineStr">
        <is>
          <t>2025-10-20</t>
        </is>
      </c>
      <c r="G9" s="15" t="n">
        <v>0.1</v>
      </c>
      <c r="H9" s="4" t="inlineStr">
        <is>
          <t>Open</t>
        </is>
      </c>
      <c r="I9" s="4" t="inlineStr"/>
      <c r="J9" s="13" t="inlineStr"/>
      <c r="K9" s="14">
        <f>IF(F9&lt;&gt;"",F9-TODAY(),"")</f>
        <v/>
      </c>
      <c r="L9" s="4">
        <f>IF(AND(H9&lt;&gt;"Closed",F9&lt;TODAY()),"Yes","No")</f>
        <v/>
      </c>
      <c r="M9" s="16">
        <f>IF(L9="Yes","Late",IF(AND(H9="In progress",G9&lt;0.5,F9-TODAY()&lt;=7),"At Risk","On Track"))</f>
        <v/>
      </c>
    </row>
    <row r="10">
      <c r="A10" s="4" t="inlineStr">
        <is>
          <t>AP-808</t>
        </is>
      </c>
      <c r="B10" s="4" t="n">
        <v>9</v>
      </c>
      <c r="C10" s="4" t="inlineStr">
        <is>
          <t>Generic PESTEL action 8</t>
        </is>
      </c>
      <c r="D10" s="4" t="inlineStr">
        <is>
          <t>Owner 8</t>
        </is>
      </c>
      <c r="E10" s="4" t="inlineStr">
        <is>
          <t>Medium</t>
        </is>
      </c>
      <c r="F10" s="13" t="inlineStr">
        <is>
          <t>2025-10-20</t>
        </is>
      </c>
      <c r="G10" s="15" t="n">
        <v>0.1</v>
      </c>
      <c r="H10" s="4" t="inlineStr">
        <is>
          <t>Open</t>
        </is>
      </c>
      <c r="I10" s="4" t="inlineStr"/>
      <c r="J10" s="13" t="inlineStr"/>
      <c r="K10" s="14">
        <f>IF(F10&lt;&gt;"",F10-TODAY(),"")</f>
        <v/>
      </c>
      <c r="L10" s="4">
        <f>IF(AND(H10&lt;&gt;"Closed",F10&lt;TODAY()),"Yes","No")</f>
        <v/>
      </c>
      <c r="M10" s="16">
        <f>IF(L10="Yes","Late",IF(AND(H10="In progress",G10&lt;0.5,F10-TODAY()&lt;=7),"At Risk","On Track"))</f>
        <v/>
      </c>
    </row>
    <row r="11">
      <c r="A11" s="4" t="inlineStr">
        <is>
          <t>AP-809</t>
        </is>
      </c>
      <c r="B11" s="4" t="n">
        <v>10</v>
      </c>
      <c r="C11" s="4" t="inlineStr">
        <is>
          <t>Generic PESTEL action 9</t>
        </is>
      </c>
      <c r="D11" s="4" t="inlineStr">
        <is>
          <t>Owner 9</t>
        </is>
      </c>
      <c r="E11" s="4" t="inlineStr">
        <is>
          <t>Medium</t>
        </is>
      </c>
      <c r="F11" s="13" t="inlineStr">
        <is>
          <t>2025-10-20</t>
        </is>
      </c>
      <c r="G11" s="15" t="n">
        <v>0.1</v>
      </c>
      <c r="H11" s="4" t="inlineStr">
        <is>
          <t>Open</t>
        </is>
      </c>
      <c r="I11" s="4" t="inlineStr"/>
      <c r="J11" s="13" t="inlineStr"/>
      <c r="K11" s="14">
        <f>IF(F11&lt;&gt;"",F11-TODAY(),"")</f>
        <v/>
      </c>
      <c r="L11" s="4">
        <f>IF(AND(H11&lt;&gt;"Closed",F11&lt;TODAY()),"Yes","No")</f>
        <v/>
      </c>
      <c r="M11" s="16">
        <f>IF(L11="Yes","Late",IF(AND(H11="In progress",G11&lt;0.5,F11-TODAY()&lt;=7),"At Risk","On Track"))</f>
        <v/>
      </c>
    </row>
    <row r="12">
      <c r="A12" s="4" t="inlineStr">
        <is>
          <t>AP-810</t>
        </is>
      </c>
      <c r="B12" s="4" t="n">
        <v>11</v>
      </c>
      <c r="C12" s="4" t="inlineStr">
        <is>
          <t>Generic PESTEL action 10</t>
        </is>
      </c>
      <c r="D12" s="4" t="inlineStr">
        <is>
          <t>Owner 10</t>
        </is>
      </c>
      <c r="E12" s="4" t="inlineStr">
        <is>
          <t>Medium</t>
        </is>
      </c>
      <c r="F12" s="13" t="inlineStr">
        <is>
          <t>2025-10-20</t>
        </is>
      </c>
      <c r="G12" s="15" t="n">
        <v>0.1</v>
      </c>
      <c r="H12" s="4" t="inlineStr">
        <is>
          <t>Open</t>
        </is>
      </c>
      <c r="I12" s="4" t="inlineStr"/>
      <c r="J12" s="13" t="inlineStr"/>
      <c r="K12" s="14">
        <f>IF(F12&lt;&gt;"",F12-TODAY(),"")</f>
        <v/>
      </c>
      <c r="L12" s="4">
        <f>IF(AND(H12&lt;&gt;"Closed",F12&lt;TODAY()),"Yes","No")</f>
        <v/>
      </c>
      <c r="M12" s="16">
        <f>IF(L12="Yes","Late",IF(AND(H12="In progress",G12&lt;0.5,F12-TODAY()&lt;=7),"At Risk","On Track"))</f>
        <v/>
      </c>
    </row>
    <row r="13">
      <c r="A13" s="4" t="inlineStr">
        <is>
          <t>AP-811</t>
        </is>
      </c>
      <c r="B13" s="4" t="n">
        <v>12</v>
      </c>
      <c r="C13" s="4" t="inlineStr">
        <is>
          <t>Generic PESTEL action 11</t>
        </is>
      </c>
      <c r="D13" s="4" t="inlineStr">
        <is>
          <t>Owner 11</t>
        </is>
      </c>
      <c r="E13" s="4" t="inlineStr">
        <is>
          <t>Medium</t>
        </is>
      </c>
      <c r="F13" s="13" t="inlineStr">
        <is>
          <t>2025-10-20</t>
        </is>
      </c>
      <c r="G13" s="15" t="n">
        <v>0.1</v>
      </c>
      <c r="H13" s="4" t="inlineStr">
        <is>
          <t>Open</t>
        </is>
      </c>
      <c r="I13" s="4" t="inlineStr"/>
      <c r="J13" s="13" t="inlineStr"/>
      <c r="K13" s="14">
        <f>IF(F13&lt;&gt;"",F13-TODAY(),"")</f>
        <v/>
      </c>
      <c r="L13" s="4">
        <f>IF(AND(H13&lt;&gt;"Closed",F13&lt;TODAY()),"Yes","No")</f>
        <v/>
      </c>
      <c r="M13" s="16">
        <f>IF(L13="Yes","Late",IF(AND(H13="In progress",G13&lt;0.5,F13-TODAY()&lt;=7),"At Risk","On Track"))</f>
        <v/>
      </c>
    </row>
    <row r="14">
      <c r="A14" s="4" t="inlineStr">
        <is>
          <t>AP-812</t>
        </is>
      </c>
      <c r="B14" s="4" t="n">
        <v>1</v>
      </c>
      <c r="C14" s="4" t="inlineStr">
        <is>
          <t>Generic PESTEL action 12</t>
        </is>
      </c>
      <c r="D14" s="4" t="inlineStr">
        <is>
          <t>Owner 12</t>
        </is>
      </c>
      <c r="E14" s="4" t="inlineStr">
        <is>
          <t>Medium</t>
        </is>
      </c>
      <c r="F14" s="13" t="inlineStr">
        <is>
          <t>2025-10-20</t>
        </is>
      </c>
      <c r="G14" s="15" t="n">
        <v>0.1</v>
      </c>
      <c r="H14" s="4" t="inlineStr">
        <is>
          <t>Open</t>
        </is>
      </c>
      <c r="I14" s="4" t="inlineStr"/>
      <c r="J14" s="13" t="inlineStr"/>
      <c r="K14" s="14">
        <f>IF(F14&lt;&gt;"",F14-TODAY(),"")</f>
        <v/>
      </c>
      <c r="L14" s="4">
        <f>IF(AND(H14&lt;&gt;"Closed",F14&lt;TODAY()),"Yes","No")</f>
        <v/>
      </c>
      <c r="M14" s="16">
        <f>IF(L14="Yes","Late",IF(AND(H14="In progress",G14&lt;0.5,F14-TODAY()&lt;=7),"At Risk","On Track"))</f>
        <v/>
      </c>
    </row>
    <row r="15">
      <c r="A15" s="4" t="inlineStr">
        <is>
          <t>AP-813</t>
        </is>
      </c>
      <c r="B15" s="4" t="n">
        <v>2</v>
      </c>
      <c r="C15" s="4" t="inlineStr">
        <is>
          <t>Generic PESTEL action 13</t>
        </is>
      </c>
      <c r="D15" s="4" t="inlineStr">
        <is>
          <t>Owner 13</t>
        </is>
      </c>
      <c r="E15" s="4" t="inlineStr">
        <is>
          <t>Medium</t>
        </is>
      </c>
      <c r="F15" s="13" t="inlineStr">
        <is>
          <t>2025-10-20</t>
        </is>
      </c>
      <c r="G15" s="15" t="n">
        <v>0.1</v>
      </c>
      <c r="H15" s="4" t="inlineStr">
        <is>
          <t>Open</t>
        </is>
      </c>
      <c r="I15" s="4" t="inlineStr"/>
      <c r="J15" s="13" t="inlineStr"/>
      <c r="K15" s="14">
        <f>IF(F15&lt;&gt;"",F15-TODAY(),"")</f>
        <v/>
      </c>
      <c r="L15" s="4">
        <f>IF(AND(H15&lt;&gt;"Closed",F15&lt;TODAY()),"Yes","No")</f>
        <v/>
      </c>
      <c r="M15" s="16">
        <f>IF(L15="Yes","Late",IF(AND(H15="In progress",G15&lt;0.5,F15-TODAY()&lt;=7),"At Risk","On Track"))</f>
        <v/>
      </c>
    </row>
    <row r="16">
      <c r="A16" s="4" t="inlineStr">
        <is>
          <t>AP-814</t>
        </is>
      </c>
      <c r="B16" s="4" t="n">
        <v>3</v>
      </c>
      <c r="C16" s="4" t="inlineStr">
        <is>
          <t>Generic PESTEL action 14</t>
        </is>
      </c>
      <c r="D16" s="4" t="inlineStr">
        <is>
          <t>Owner 14</t>
        </is>
      </c>
      <c r="E16" s="4" t="inlineStr">
        <is>
          <t>Medium</t>
        </is>
      </c>
      <c r="F16" s="13" t="inlineStr">
        <is>
          <t>2025-10-20</t>
        </is>
      </c>
      <c r="G16" s="15" t="n">
        <v>0.1</v>
      </c>
      <c r="H16" s="4" t="inlineStr">
        <is>
          <t>Open</t>
        </is>
      </c>
      <c r="I16" s="4" t="inlineStr"/>
      <c r="J16" s="13" t="inlineStr"/>
      <c r="K16" s="14">
        <f>IF(F16&lt;&gt;"",F16-TODAY(),"")</f>
        <v/>
      </c>
      <c r="L16" s="4">
        <f>IF(AND(H16&lt;&gt;"Closed",F16&lt;TODAY()),"Yes","No")</f>
        <v/>
      </c>
      <c r="M16" s="16">
        <f>IF(L16="Yes","Late",IF(AND(H16="In progress",G16&lt;0.5,F16-TODAY()&lt;=7),"At Risk","On Track"))</f>
        <v/>
      </c>
    </row>
    <row r="17">
      <c r="A17" s="4" t="inlineStr">
        <is>
          <t>AP-815</t>
        </is>
      </c>
      <c r="B17" s="4" t="n">
        <v>4</v>
      </c>
      <c r="C17" s="4" t="inlineStr">
        <is>
          <t>Generic PESTEL action 15</t>
        </is>
      </c>
      <c r="D17" s="4" t="inlineStr">
        <is>
          <t>Owner 15</t>
        </is>
      </c>
      <c r="E17" s="4" t="inlineStr">
        <is>
          <t>Medium</t>
        </is>
      </c>
      <c r="F17" s="13" t="inlineStr">
        <is>
          <t>2025-10-20</t>
        </is>
      </c>
      <c r="G17" s="15" t="n">
        <v>0.1</v>
      </c>
      <c r="H17" s="4" t="inlineStr">
        <is>
          <t>Open</t>
        </is>
      </c>
      <c r="I17" s="4" t="inlineStr"/>
      <c r="J17" s="13" t="inlineStr"/>
      <c r="K17" s="14">
        <f>IF(F17&lt;&gt;"",F17-TODAY(),"")</f>
        <v/>
      </c>
      <c r="L17" s="4">
        <f>IF(AND(H17&lt;&gt;"Closed",F17&lt;TODAY()),"Yes","No")</f>
        <v/>
      </c>
      <c r="M17" s="16">
        <f>IF(L17="Yes","Late",IF(AND(H17="In progress",G17&lt;0.5,F17-TODAY()&lt;=7),"At Risk","On Track"))</f>
        <v/>
      </c>
    </row>
  </sheetData>
  <mergeCells count="1">
    <mergeCell ref="A1:M1"/>
  </mergeCells>
  <conditionalFormatting sqref="A3:M9999">
    <cfRule type="expression" priority="1" dxfId="0">
      <formula>$M3="Late"</formula>
    </cfRule>
    <cfRule type="expression" priority="2" dxfId="2">
      <formula>$M3="At Risk"</formula>
    </cfRule>
    <cfRule type="expression" priority="3" dxfId="3">
      <formula>$M3="On Track"</formula>
    </cfRule>
  </conditionalFormatting>
  <dataValidations count="2">
    <dataValidation sqref="E3:E9999" showErrorMessage="1" showInputMessage="1" allowBlank="1" type="list">
      <formula1>"Low,Medium,High,Critical"</formula1>
    </dataValidation>
    <dataValidation sqref="H3:H9999" showErrorMessage="1" showInputMessage="1" allowBlank="1" type="list">
      <formula1>"Open,In progress,Closed,Deferred"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10"/>
  <sheetViews>
    <sheetView workbookViewId="0">
      <selection activeCell="A1" sqref="A1"/>
    </sheetView>
  </sheetViews>
  <sheetFormatPr baseColWidth="8" defaultRowHeight="15"/>
  <cols>
    <col width="18" customWidth="1" min="1" max="1"/>
    <col width="10" customWidth="1" min="2" max="2"/>
    <col width="10" customWidth="1" min="3" max="3"/>
    <col width="10" customWidth="1" min="4" max="4"/>
    <col width="10" customWidth="1" min="5" max="5"/>
    <col width="4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4" customWidth="1" min="12" max="12"/>
    <col width="12" customWidth="1" min="13" max="13"/>
    <col width="12" customWidth="1" min="14" max="14"/>
  </cols>
  <sheetData>
    <row r="1">
      <c r="A1" s="2" t="inlineStr">
        <is>
          <t>PESTEL Matrices — Domain×Horizon &amp; Impact×Horizon</t>
        </is>
      </c>
    </row>
    <row r="3">
      <c r="A3" s="5" t="inlineStr">
        <is>
          <t>Domain × Horizon</t>
        </is>
      </c>
      <c r="G3" s="5" t="inlineStr">
        <is>
          <t>Impact × Horizon</t>
        </is>
      </c>
    </row>
    <row r="4">
      <c r="B4" s="17" t="inlineStr">
        <is>
          <t>Now</t>
        </is>
      </c>
      <c r="C4" s="17" t="inlineStr">
        <is>
          <t>6-12m</t>
        </is>
      </c>
      <c r="D4" s="17" t="inlineStr">
        <is>
          <t>1-3y</t>
        </is>
      </c>
      <c r="E4" s="17" t="inlineStr">
        <is>
          <t>3+y</t>
        </is>
      </c>
      <c r="H4" s="17" t="inlineStr">
        <is>
          <t>Now</t>
        </is>
      </c>
      <c r="I4" s="17" t="inlineStr">
        <is>
          <t>6-12m</t>
        </is>
      </c>
      <c r="J4" s="17" t="inlineStr">
        <is>
          <t>1-3y</t>
        </is>
      </c>
      <c r="K4" s="17" t="inlineStr">
        <is>
          <t>3+y</t>
        </is>
      </c>
    </row>
    <row r="5">
      <c r="A5" s="18" t="inlineStr">
        <is>
          <t>Political</t>
        </is>
      </c>
      <c r="B5" s="16">
        <f>COUNTIFS(PESTEL_Register!$B$3:$B$9999,"Political",PESTEL_Register!$H$3:$H$9999,"Now")</f>
        <v/>
      </c>
      <c r="C5" s="16">
        <f>COUNTIFS(PESTEL_Register!$B$3:$B$9999,"Political",PESTEL_Register!$H$3:$H$9999,"6-12m")</f>
        <v/>
      </c>
      <c r="D5" s="16">
        <f>COUNTIFS(PESTEL_Register!$B$3:$B$9999,"Political",PESTEL_Register!$H$3:$H$9999,"1-3y")</f>
        <v/>
      </c>
      <c r="E5" s="16">
        <f>COUNTIFS(PESTEL_Register!$B$3:$B$9999,"Political",PESTEL_Register!$H$3:$H$9999,"3+y")</f>
        <v/>
      </c>
      <c r="G5" s="17" t="inlineStr">
        <is>
          <t>I1</t>
        </is>
      </c>
      <c r="H5" s="16">
        <f>COUNTIFS(PESTEL_Register!$K$3:$K$9999,1,PESTEL_Register!$H$3:$H$9999,"Now")</f>
        <v/>
      </c>
      <c r="I5" s="16">
        <f>COUNTIFS(PESTEL_Register!$K$3:$K$9999,1,PESTEL_Register!$H$3:$H$9999,"6-12m")</f>
        <v/>
      </c>
      <c r="J5" s="16">
        <f>COUNTIFS(PESTEL_Register!$K$3:$K$9999,1,PESTEL_Register!$H$3:$H$9999,"1-3y")</f>
        <v/>
      </c>
      <c r="K5" s="16">
        <f>COUNTIFS(PESTEL_Register!$K$3:$K$9999,1,PESTEL_Register!$H$3:$H$9999,"3+y")</f>
        <v/>
      </c>
    </row>
    <row r="6">
      <c r="A6" s="18" t="inlineStr">
        <is>
          <t>Economic</t>
        </is>
      </c>
      <c r="B6" s="16">
        <f>COUNTIFS(PESTEL_Register!$B$3:$B$9999,"Economic",PESTEL_Register!$H$3:$H$9999,"Now")</f>
        <v/>
      </c>
      <c r="C6" s="16">
        <f>COUNTIFS(PESTEL_Register!$B$3:$B$9999,"Economic",PESTEL_Register!$H$3:$H$9999,"6-12m")</f>
        <v/>
      </c>
      <c r="D6" s="16">
        <f>COUNTIFS(PESTEL_Register!$B$3:$B$9999,"Economic",PESTEL_Register!$H$3:$H$9999,"1-3y")</f>
        <v/>
      </c>
      <c r="E6" s="16">
        <f>COUNTIFS(PESTEL_Register!$B$3:$B$9999,"Economic",PESTEL_Register!$H$3:$H$9999,"3+y")</f>
        <v/>
      </c>
      <c r="G6" s="17" t="inlineStr">
        <is>
          <t>I2</t>
        </is>
      </c>
      <c r="H6" s="16">
        <f>COUNTIFS(PESTEL_Register!$K$3:$K$9999,2,PESTEL_Register!$H$3:$H$9999,"Now")</f>
        <v/>
      </c>
      <c r="I6" s="16">
        <f>COUNTIFS(PESTEL_Register!$K$3:$K$9999,2,PESTEL_Register!$H$3:$H$9999,"6-12m")</f>
        <v/>
      </c>
      <c r="J6" s="16">
        <f>COUNTIFS(PESTEL_Register!$K$3:$K$9999,2,PESTEL_Register!$H$3:$H$9999,"1-3y")</f>
        <v/>
      </c>
      <c r="K6" s="16">
        <f>COUNTIFS(PESTEL_Register!$K$3:$K$9999,2,PESTEL_Register!$H$3:$H$9999,"3+y")</f>
        <v/>
      </c>
    </row>
    <row r="7">
      <c r="A7" s="18" t="inlineStr">
        <is>
          <t>Social</t>
        </is>
      </c>
      <c r="B7" s="16">
        <f>COUNTIFS(PESTEL_Register!$B$3:$B$9999,"Social",PESTEL_Register!$H$3:$H$9999,"Now")</f>
        <v/>
      </c>
      <c r="C7" s="16">
        <f>COUNTIFS(PESTEL_Register!$B$3:$B$9999,"Social",PESTEL_Register!$H$3:$H$9999,"6-12m")</f>
        <v/>
      </c>
      <c r="D7" s="16">
        <f>COUNTIFS(PESTEL_Register!$B$3:$B$9999,"Social",PESTEL_Register!$H$3:$H$9999,"1-3y")</f>
        <v/>
      </c>
      <c r="E7" s="16">
        <f>COUNTIFS(PESTEL_Register!$B$3:$B$9999,"Social",PESTEL_Register!$H$3:$H$9999,"3+y")</f>
        <v/>
      </c>
      <c r="G7" s="17" t="inlineStr">
        <is>
          <t>I3</t>
        </is>
      </c>
      <c r="H7" s="16">
        <f>COUNTIFS(PESTEL_Register!$K$3:$K$9999,3,PESTEL_Register!$H$3:$H$9999,"Now")</f>
        <v/>
      </c>
      <c r="I7" s="16">
        <f>COUNTIFS(PESTEL_Register!$K$3:$K$9999,3,PESTEL_Register!$H$3:$H$9999,"6-12m")</f>
        <v/>
      </c>
      <c r="J7" s="16">
        <f>COUNTIFS(PESTEL_Register!$K$3:$K$9999,3,PESTEL_Register!$H$3:$H$9999,"1-3y")</f>
        <v/>
      </c>
      <c r="K7" s="16">
        <f>COUNTIFS(PESTEL_Register!$K$3:$K$9999,3,PESTEL_Register!$H$3:$H$9999,"3+y")</f>
        <v/>
      </c>
    </row>
    <row r="8">
      <c r="A8" s="18" t="inlineStr">
        <is>
          <t>Technological</t>
        </is>
      </c>
      <c r="B8" s="16">
        <f>COUNTIFS(PESTEL_Register!$B$3:$B$9999,"Technological",PESTEL_Register!$H$3:$H$9999,"Now")</f>
        <v/>
      </c>
      <c r="C8" s="16">
        <f>COUNTIFS(PESTEL_Register!$B$3:$B$9999,"Technological",PESTEL_Register!$H$3:$H$9999,"6-12m")</f>
        <v/>
      </c>
      <c r="D8" s="16">
        <f>COUNTIFS(PESTEL_Register!$B$3:$B$9999,"Technological",PESTEL_Register!$H$3:$H$9999,"1-3y")</f>
        <v/>
      </c>
      <c r="E8" s="16">
        <f>COUNTIFS(PESTEL_Register!$B$3:$B$9999,"Technological",PESTEL_Register!$H$3:$H$9999,"3+y")</f>
        <v/>
      </c>
      <c r="G8" s="17" t="inlineStr">
        <is>
          <t>I4</t>
        </is>
      </c>
      <c r="H8" s="16">
        <f>COUNTIFS(PESTEL_Register!$K$3:$K$9999,4,PESTEL_Register!$H$3:$H$9999,"Now")</f>
        <v/>
      </c>
      <c r="I8" s="16">
        <f>COUNTIFS(PESTEL_Register!$K$3:$K$9999,4,PESTEL_Register!$H$3:$H$9999,"6-12m")</f>
        <v/>
      </c>
      <c r="J8" s="16">
        <f>COUNTIFS(PESTEL_Register!$K$3:$K$9999,4,PESTEL_Register!$H$3:$H$9999,"1-3y")</f>
        <v/>
      </c>
      <c r="K8" s="16">
        <f>COUNTIFS(PESTEL_Register!$K$3:$K$9999,4,PESTEL_Register!$H$3:$H$9999,"3+y")</f>
        <v/>
      </c>
    </row>
    <row r="9">
      <c r="A9" s="18" t="inlineStr">
        <is>
          <t>Environmental</t>
        </is>
      </c>
      <c r="B9" s="16">
        <f>COUNTIFS(PESTEL_Register!$B$3:$B$9999,"Environmental",PESTEL_Register!$H$3:$H$9999,"Now")</f>
        <v/>
      </c>
      <c r="C9" s="16">
        <f>COUNTIFS(PESTEL_Register!$B$3:$B$9999,"Environmental",PESTEL_Register!$H$3:$H$9999,"6-12m")</f>
        <v/>
      </c>
      <c r="D9" s="16">
        <f>COUNTIFS(PESTEL_Register!$B$3:$B$9999,"Environmental",PESTEL_Register!$H$3:$H$9999,"1-3y")</f>
        <v/>
      </c>
      <c r="E9" s="16">
        <f>COUNTIFS(PESTEL_Register!$B$3:$B$9999,"Environmental",PESTEL_Register!$H$3:$H$9999,"3+y")</f>
        <v/>
      </c>
      <c r="G9" s="17" t="inlineStr">
        <is>
          <t>I5</t>
        </is>
      </c>
      <c r="H9" s="16">
        <f>COUNTIFS(PESTEL_Register!$K$3:$K$9999,5,PESTEL_Register!$H$3:$H$9999,"Now")</f>
        <v/>
      </c>
      <c r="I9" s="16">
        <f>COUNTIFS(PESTEL_Register!$K$3:$K$9999,5,PESTEL_Register!$H$3:$H$9999,"6-12m")</f>
        <v/>
      </c>
      <c r="J9" s="16">
        <f>COUNTIFS(PESTEL_Register!$K$3:$K$9999,5,PESTEL_Register!$H$3:$H$9999,"1-3y")</f>
        <v/>
      </c>
      <c r="K9" s="16">
        <f>COUNTIFS(PESTEL_Register!$K$3:$K$9999,5,PESTEL_Register!$H$3:$H$9999,"3+y")</f>
        <v/>
      </c>
    </row>
    <row r="10">
      <c r="A10" s="18" t="inlineStr">
        <is>
          <t>Legal</t>
        </is>
      </c>
      <c r="B10" s="16">
        <f>COUNTIFS(PESTEL_Register!$B$3:$B$9999,"Legal",PESTEL_Register!$H$3:$H$9999,"Now")</f>
        <v/>
      </c>
      <c r="C10" s="16">
        <f>COUNTIFS(PESTEL_Register!$B$3:$B$9999,"Legal",PESTEL_Register!$H$3:$H$9999,"6-12m")</f>
        <v/>
      </c>
      <c r="D10" s="16">
        <f>COUNTIFS(PESTEL_Register!$B$3:$B$9999,"Legal",PESTEL_Register!$H$3:$H$9999,"1-3y")</f>
        <v/>
      </c>
      <c r="E10" s="16">
        <f>COUNTIFS(PESTEL_Register!$B$3:$B$9999,"Legal",PESTEL_Register!$H$3:$H$9999,"3+y")</f>
        <v/>
      </c>
    </row>
  </sheetData>
  <mergeCells count="1">
    <mergeCell ref="A1:N1"/>
  </mergeCells>
  <conditionalFormatting sqref="B5:E10">
    <cfRule type="colorScale" priority="1">
      <colorScale>
        <cfvo type="num" val="0"/>
        <cfvo type="num" val="3"/>
        <cfvo type="num" val="10"/>
        <color rgb="00e2f0d9"/>
        <color rgb="00fff2cc"/>
        <color rgb="00f8cbad"/>
      </colorScale>
    </cfRule>
  </conditionalFormatting>
  <conditionalFormatting sqref="H5:K9">
    <cfRule type="colorScale" priority="2">
      <colorScale>
        <cfvo type="num" val="0"/>
        <cfvo type="num" val="3"/>
        <cfvo type="num" val="10"/>
        <color rgb="00e2f0d9"/>
        <color rgb="00fff2cc"/>
        <color rgb="00f8cbad"/>
      </colorScale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N15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</cols>
  <sheetData>
    <row r="1">
      <c r="A1" s="2" t="inlineStr">
        <is>
          <t>Dashboard — PESTEL KPIs &amp; Distributions</t>
        </is>
      </c>
    </row>
    <row r="3">
      <c r="A3" s="19" t="inlineStr">
        <is>
          <t>Total Factors</t>
        </is>
      </c>
      <c r="B3" s="20">
        <f>COUNTA(PESTEL_Register!A3:A9999)</f>
        <v/>
      </c>
      <c r="D3" t="inlineStr">
        <is>
          <t>Domain</t>
        </is>
      </c>
      <c r="E3" t="inlineStr">
        <is>
          <t>Count</t>
        </is>
      </c>
      <c r="H3" t="inlineStr">
        <is>
          <t>Priority</t>
        </is>
      </c>
      <c r="I3" t="inlineStr">
        <is>
          <t>Count</t>
        </is>
      </c>
    </row>
    <row r="4">
      <c r="D4" s="4" t="inlineStr">
        <is>
          <t>Political</t>
        </is>
      </c>
      <c r="E4" s="4">
        <f>COUNTIF(PESTEL_Register!B3:B9999,"Political")</f>
        <v/>
      </c>
      <c r="H4" s="4" t="inlineStr">
        <is>
          <t>Low</t>
        </is>
      </c>
      <c r="I4" s="4">
        <f>COUNTIF(PESTEL_Register!N3:N9999,"Low")</f>
        <v/>
      </c>
    </row>
    <row r="5">
      <c r="A5" s="19" t="inlineStr">
        <is>
          <t>High+Critical (Priority)</t>
        </is>
      </c>
      <c r="B5" s="20">
        <f>COUNTIF(PESTEL_Register!N3:N9999,"High")+COUNTIF(PESTEL_Register!N3:N9999,"Critical")</f>
        <v/>
      </c>
      <c r="D5" s="4" t="inlineStr">
        <is>
          <t>Economic</t>
        </is>
      </c>
      <c r="E5" s="4">
        <f>COUNTIF(PESTEL_Register!B3:B9999,"Economic")</f>
        <v/>
      </c>
      <c r="H5" s="4" t="inlineStr">
        <is>
          <t>Medium</t>
        </is>
      </c>
      <c r="I5" s="4">
        <f>COUNTIF(PESTEL_Register!N3:N9999,"Medium")</f>
        <v/>
      </c>
    </row>
    <row r="6">
      <c r="D6" s="4" t="inlineStr">
        <is>
          <t>Social</t>
        </is>
      </c>
      <c r="E6" s="4">
        <f>COUNTIF(PESTEL_Register!B3:B9999,"Social")</f>
        <v/>
      </c>
      <c r="H6" s="4" t="inlineStr">
        <is>
          <t>High</t>
        </is>
      </c>
      <c r="I6" s="4">
        <f>COUNTIF(PESTEL_Register!N3:N9999,"High")</f>
        <v/>
      </c>
    </row>
    <row r="7">
      <c r="A7" s="19" t="inlineStr">
        <is>
          <t>Opportunities</t>
        </is>
      </c>
      <c r="B7" s="20">
        <f>COUNTIF(PESTEL_Register!J3:J9999,"Opportunity")+COUNTIF(PESTEL_Register!J3:J9999,"Both")</f>
        <v/>
      </c>
      <c r="D7" s="4" t="inlineStr">
        <is>
          <t>Technological</t>
        </is>
      </c>
      <c r="E7" s="4">
        <f>COUNTIF(PESTEL_Register!B3:B9999,"Technological")</f>
        <v/>
      </c>
      <c r="H7" s="4" t="inlineStr">
        <is>
          <t>Critical</t>
        </is>
      </c>
      <c r="I7" s="4">
        <f>COUNTIF(PESTEL_Register!N3:N9999,"Critical")</f>
        <v/>
      </c>
    </row>
    <row r="8">
      <c r="D8" s="4" t="inlineStr">
        <is>
          <t>Environmental</t>
        </is>
      </c>
      <c r="E8" s="4">
        <f>COUNTIF(PESTEL_Register!B3:B9999,"Environmental")</f>
        <v/>
      </c>
    </row>
    <row r="9">
      <c r="A9" s="19" t="inlineStr">
        <is>
          <t>Threats</t>
        </is>
      </c>
      <c r="B9" s="20">
        <f>COUNTIF(PESTEL_Register!J3:J9999,"Threat")+COUNTIF(PESTEL_Register!J3:J9999,"Both")</f>
        <v/>
      </c>
      <c r="D9" s="4" t="inlineStr">
        <is>
          <t>Legal</t>
        </is>
      </c>
      <c r="E9" s="4">
        <f>COUNTIF(PESTEL_Register!B3:B9999,"Legal")</f>
        <v/>
      </c>
    </row>
    <row r="11">
      <c r="A11" s="19" t="inlineStr">
        <is>
          <t>Open Actions</t>
        </is>
      </c>
      <c r="B11" s="20">
        <f>COUNTIF(Actions_PESTEL!H3:H9999,"Open")+COUNTIF(Actions_PESTEL!H3:H9999,"In progress")</f>
        <v/>
      </c>
    </row>
    <row r="13">
      <c r="A13" s="19" t="inlineStr">
        <is>
          <t>Overdue Actions</t>
        </is>
      </c>
      <c r="B13" s="20">
        <f>COUNTIFS(Actions_PESTEL!H3:H9999,"&lt;&gt;Closed",Actions_PESTEL!F3:F9999,"&lt;"&amp;TODAY())</f>
        <v/>
      </c>
    </row>
    <row r="15">
      <c r="A15" s="19" t="inlineStr">
        <is>
          <t>Reviews due ≤7d</t>
        </is>
      </c>
      <c r="B15" s="20">
        <f>COUNTIFS(PESTEL_Register!V3:V9999,"&lt;=7",PESTEL_Register!S3:S9999,"&lt;&gt;Closed")</f>
        <v/>
      </c>
    </row>
  </sheetData>
  <mergeCells count="1">
    <mergeCell ref="A1:N1"/>
  </mergeCell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selection activeCell="A1" sqref="A1"/>
    </sheetView>
  </sheetViews>
  <sheetFormatPr baseColWidth="8" defaultRowHeight="15"/>
  <cols>
    <col width="22" customWidth="1" min="1" max="1"/>
    <col width="8" customWidth="1" min="2" max="2"/>
    <col width="22" customWidth="1" min="3" max="3"/>
    <col width="8" customWidth="1" min="4" max="4"/>
    <col width="22" customWidth="1" min="5" max="5"/>
    <col width="8" customWidth="1" min="6" max="6"/>
    <col width="22" customWidth="1" min="7" max="7"/>
    <col width="8" customWidth="1" min="8" max="8"/>
    <col width="22" customWidth="1" min="9" max="9"/>
  </cols>
  <sheetData>
    <row r="1">
      <c r="A1" s="2" t="inlineStr">
        <is>
          <t>Descendance des Flux — Processus PESTEL</t>
        </is>
      </c>
    </row>
    <row r="3">
      <c r="A3" s="21" t="inlineStr">
        <is>
          <t>1. Veille/Scanning</t>
        </is>
      </c>
      <c r="C3" s="22" t="inlineStr">
        <is>
          <t>2. Identification</t>
        </is>
      </c>
      <c r="E3" s="23" t="inlineStr">
        <is>
          <t>3. Qualification</t>
        </is>
      </c>
      <c r="G3" s="3" t="inlineStr">
        <is>
          <t>4. Priorisation</t>
        </is>
      </c>
      <c r="I3" s="24" t="inlineStr">
        <is>
          <t>5. Décision &amp; Plan d’actions</t>
        </is>
      </c>
      <c r="K3" s="25" t="inlineStr">
        <is>
          <t>6. Exécution</t>
        </is>
      </c>
      <c r="M3" s="21" t="inlineStr">
        <is>
          <t>7. Suivi &amp; Réexamen</t>
        </is>
      </c>
    </row>
    <row r="4">
      <c r="A4" s="7" t="n"/>
      <c r="B4" s="26" t="inlineStr">
        <is>
          <t>→</t>
        </is>
      </c>
      <c r="C4" s="8" t="n"/>
      <c r="D4" s="26" t="inlineStr">
        <is>
          <t>→</t>
        </is>
      </c>
      <c r="E4" s="10" t="n"/>
      <c r="F4" s="26" t="inlineStr">
        <is>
          <t>→</t>
        </is>
      </c>
      <c r="G4" s="12" t="n"/>
      <c r="H4" s="26" t="inlineStr">
        <is>
          <t>→</t>
        </is>
      </c>
      <c r="I4" s="9" t="n"/>
      <c r="J4" s="26" t="inlineStr">
        <is>
          <t>→</t>
        </is>
      </c>
      <c r="K4" s="11" t="n"/>
      <c r="L4" s="26" t="inlineStr">
        <is>
          <t>→</t>
        </is>
      </c>
      <c r="M4" s="7" t="n"/>
    </row>
    <row r="5">
      <c r="A5" s="7" t="n"/>
      <c r="C5" s="8" t="n"/>
      <c r="E5" s="10" t="n"/>
      <c r="G5" s="12" t="n"/>
      <c r="I5" s="9" t="n"/>
      <c r="K5" s="11" t="n"/>
      <c r="M5" s="7" t="n"/>
    </row>
    <row r="8">
      <c r="A8" s="27" t="inlineStr">
        <is>
          <t>Entrées &amp; Sorties par étape</t>
        </is>
      </c>
    </row>
    <row r="9">
      <c r="A9" s="3" t="inlineStr">
        <is>
          <t>Étape</t>
        </is>
      </c>
      <c r="B9" s="3" t="inlineStr">
        <is>
          <t>Entrées (Inputs)</t>
        </is>
      </c>
      <c r="C9" s="3" t="inlineStr">
        <is>
          <t>Sorties (Outputs)</t>
        </is>
      </c>
    </row>
    <row r="10">
      <c r="A10" s="6" t="inlineStr">
        <is>
          <t>Veille/Scanning</t>
        </is>
      </c>
      <c r="B10" s="6" t="inlineStr">
        <is>
          <t>Newsletters, régulateurs, think tanks, réseaux, benchmarks</t>
        </is>
      </c>
      <c r="C10" s="6" t="inlineStr">
        <is>
          <t>Flux d’information qualifié</t>
        </is>
      </c>
    </row>
    <row r="11">
      <c r="A11" s="6" t="inlineStr">
        <is>
          <t>Identification</t>
        </is>
      </c>
      <c r="B11" s="6" t="inlineStr">
        <is>
          <t>Signaux de l’environnement, alertes internes</t>
        </is>
      </c>
      <c r="C11" s="6" t="inlineStr">
        <is>
          <t>Liste de facteurs PESTEL bruts</t>
        </is>
      </c>
    </row>
    <row r="12">
      <c r="A12" s="6" t="inlineStr">
        <is>
          <t>Qualification</t>
        </is>
      </c>
      <c r="B12" s="6" t="inlineStr">
        <is>
          <t>Description, preuves, périmètre, horizon, tendance</t>
        </is>
      </c>
      <c r="C12" s="6" t="inlineStr">
        <is>
          <t>Facteurs qualifiés (fiche)</t>
        </is>
      </c>
    </row>
    <row r="13">
      <c r="A13" s="6" t="inlineStr">
        <is>
          <t>Priorisation</t>
        </is>
      </c>
      <c r="B13" s="6" t="inlineStr">
        <is>
          <t>Impact×Urgence, appétence, direction Opp/Threat</t>
        </is>
      </c>
      <c r="C13" s="6" t="inlineStr">
        <is>
          <t>Niveaux Low/Med/High/Critical</t>
        </is>
      </c>
    </row>
    <row r="14">
      <c r="A14" s="6" t="inlineStr">
        <is>
          <t>Décision &amp; Plan d’actions</t>
        </is>
      </c>
      <c r="B14" s="6" t="inlineStr">
        <is>
          <t>Facteurs priorisés, propriétaires, options</t>
        </is>
      </c>
      <c r="C14" s="6" t="inlineStr">
        <is>
          <t>Décisions, actions et échéances</t>
        </is>
      </c>
    </row>
    <row r="15">
      <c r="A15" s="6" t="inlineStr">
        <is>
          <t>Exécution</t>
        </is>
      </c>
      <c r="B15" s="6" t="inlineStr">
        <is>
          <t>Plan d’actions, moyens</t>
        </is>
      </c>
      <c r="C15" s="6" t="inlineStr">
        <is>
          <t>Actions réalisées, livrables</t>
        </is>
      </c>
    </row>
    <row r="16">
      <c r="A16" s="6" t="inlineStr">
        <is>
          <t>Suivi &amp; Réexamen</t>
        </is>
      </c>
      <c r="B16" s="6" t="inlineStr">
        <is>
          <t>KPI/KRI, incidents, changements</t>
        </is>
      </c>
      <c r="C16" s="6" t="inlineStr">
        <is>
          <t>Registre à jour, escalades, nouveaux signaux</t>
        </is>
      </c>
    </row>
  </sheetData>
  <mergeCells count="9">
    <mergeCell ref="A1:I1"/>
    <mergeCell ref="A3:A5"/>
    <mergeCell ref="C3:C5"/>
    <mergeCell ref="E3:E5"/>
    <mergeCell ref="G3:G5"/>
    <mergeCell ref="I3:I5"/>
    <mergeCell ref="K3:K5"/>
    <mergeCell ref="M3:M5"/>
    <mergeCell ref="A8:I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2025-08-15T02:56:11Z</dcterms:created>
  <dcterms:modified xmlns:dcterms="http://purl.org/dc/terms/" xmlns:xsi="http://www.w3.org/2001/XMLSchema-instance" xsi:type="dcterms:W3CDTF">2025-08-15T02:56:11Z</dcterms:modified>
</cp:coreProperties>
</file>