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ables/table1.xml" ContentType="application/vnd.openxmlformats-officedocument.spreadsheetml.table+xml"/>
  <Override PartName="/xl/worksheets/sheet4.xml" ContentType="application/vnd.openxmlformats-officedocument.spreadsheetml.worksheet+xml"/>
  <Override PartName="/xl/tables/table2.xml" ContentType="application/vnd.openxmlformats-officedocument.spreadsheetml.table+xml"/>
  <Override PartName="/xl/worksheets/sheet5.xml" ContentType="application/vnd.openxmlformats-officedocument.spreadsheetml.worksheet+xml"/>
  <Override PartName="/xl/tables/table3.xml" ContentType="application/vnd.openxmlformats-officedocument.spreadsheetml.table+xml"/>
  <Override PartName="/xl/worksheets/sheet6.xml" ContentType="application/vnd.openxmlformats-officedocument.spreadsheetml.worksheet+xml"/>
  <Override PartName="/xl/worksheets/sheet7.xml" ContentType="application/vnd.openxmlformats-officedocument.spreadsheetml.worksheet+xml"/>
  <Override PartName="/xl/drawings/drawing1.xml" ContentType="application/vnd.openxmlformats-officedocument.drawing+xml"/>
  <Override PartName="/xl/worksheets/sheet8.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README_Mode_Emploi" sheetId="1" state="visible" r:id="rId1"/>
    <sheet xmlns:r="http://schemas.openxmlformats.org/officeDocument/2006/relationships" name="Risk_Appetite" sheetId="2" state="visible" r:id="rId2"/>
    <sheet xmlns:r="http://schemas.openxmlformats.org/officeDocument/2006/relationships" name="Risk_Register" sheetId="3" state="visible" r:id="rId3"/>
    <sheet xmlns:r="http://schemas.openxmlformats.org/officeDocument/2006/relationships" name="Controls_Library" sheetId="4" state="visible" r:id="rId4"/>
    <sheet xmlns:r="http://schemas.openxmlformats.org/officeDocument/2006/relationships" name="Action_Plan" sheetId="5" state="visible" r:id="rId5"/>
    <sheet xmlns:r="http://schemas.openxmlformats.org/officeDocument/2006/relationships" name="Risk_Matrix" sheetId="6" state="visible" r:id="rId6"/>
    <sheet xmlns:r="http://schemas.openxmlformats.org/officeDocument/2006/relationships" name="Dashboard" sheetId="7" state="visible" r:id="rId7"/>
    <sheet xmlns:r="http://schemas.openxmlformats.org/officeDocument/2006/relationships" name="Flux_Risque" sheetId="8" state="visible" r:id="rId8"/>
  </sheets>
  <definedNames/>
  <calcPr calcId="124519" fullCalcOnLoad="1"/>
</workbook>
</file>

<file path=xl/styles.xml><?xml version="1.0" encoding="utf-8"?>
<styleSheet xmlns="http://schemas.openxmlformats.org/spreadsheetml/2006/main">
  <numFmts count="2">
    <numFmt numFmtId="164" formatCode="yyyy-mm-dd"/>
    <numFmt numFmtId="165" formatCode="0.0"/>
  </numFmts>
  <fonts count="4">
    <font>
      <name val="Calibri"/>
      <family val="2"/>
      <color theme="1"/>
      <sz val="11"/>
      <scheme val="minor"/>
    </font>
    <font>
      <b val="1"/>
      <color rgb="00FFFFFF"/>
      <sz val="18"/>
    </font>
    <font>
      <b val="1"/>
      <color rgb="00000000"/>
      <sz val="12"/>
    </font>
    <font>
      <b val="1"/>
    </font>
  </fonts>
  <fills count="8">
    <fill>
      <patternFill/>
    </fill>
    <fill>
      <patternFill patternType="gray125"/>
    </fill>
    <fill>
      <patternFill patternType="solid">
        <fgColor rgb="001f4e78"/>
      </patternFill>
    </fill>
    <fill>
      <patternFill patternType="solid">
        <fgColor rgb="00f2f2f2"/>
      </patternFill>
    </fill>
    <fill>
      <patternFill patternType="solid">
        <fgColor rgb="00ddebf7"/>
      </patternFill>
    </fill>
    <fill>
      <patternFill patternType="solid">
        <fgColor rgb="00fff2cc"/>
      </patternFill>
    </fill>
    <fill>
      <patternFill patternType="solid">
        <fgColor rgb="00e2f0d9"/>
      </patternFill>
    </fill>
    <fill>
      <patternFill patternType="solid">
        <fgColor rgb="00f4b183"/>
      </patternFill>
    </fill>
  </fills>
  <borders count="2">
    <border>
      <left/>
      <right/>
      <top/>
      <bottom/>
      <diagonal/>
    </border>
    <border>
      <left style="thin">
        <color rgb="00CCCCCC"/>
      </left>
      <right style="thin">
        <color rgb="00CCCCCC"/>
      </right>
      <top style="thin">
        <color rgb="00CCCCCC"/>
      </top>
      <bottom style="thin">
        <color rgb="00CCCCCC"/>
      </bottom>
    </border>
  </borders>
  <cellStyleXfs count="1">
    <xf numFmtId="0" fontId="0" fillId="0" borderId="0"/>
  </cellStyleXfs>
  <cellXfs count="21">
    <xf numFmtId="0" fontId="0" fillId="0" borderId="0" pivotButton="0" quotePrefix="0" xfId="0"/>
    <xf numFmtId="0" fontId="0" fillId="0" borderId="0" applyAlignment="1" pivotButton="0" quotePrefix="0" xfId="0">
      <alignment horizontal="left" vertical="center" wrapText="1"/>
    </xf>
    <xf numFmtId="0" fontId="1" fillId="2" borderId="0" applyAlignment="1" pivotButton="0" quotePrefix="0" xfId="0">
      <alignment horizontal="center" vertical="center" wrapText="1"/>
    </xf>
    <xf numFmtId="0" fontId="2" fillId="3" borderId="1" applyAlignment="1" pivotButton="0" quotePrefix="0" xfId="0">
      <alignment horizontal="center" vertical="center" wrapText="1"/>
    </xf>
    <xf numFmtId="0" fontId="0" fillId="0" borderId="1" pivotButton="0" quotePrefix="0" xfId="0"/>
    <xf numFmtId="164" fontId="0" fillId="0" borderId="1" pivotButton="0" quotePrefix="0" xfId="0"/>
    <xf numFmtId="9" fontId="0" fillId="0" borderId="1" pivotButton="0" quotePrefix="0" xfId="0"/>
    <xf numFmtId="1" fontId="0" fillId="0" borderId="1" pivotButton="0" quotePrefix="0" xfId="0"/>
    <xf numFmtId="0" fontId="0" fillId="0" borderId="1" applyAlignment="1" pivotButton="0" quotePrefix="0" xfId="0">
      <alignment horizontal="center" vertical="center" wrapText="1"/>
    </xf>
    <xf numFmtId="0" fontId="2" fillId="0" borderId="0" pivotButton="0" quotePrefix="0" xfId="0"/>
    <xf numFmtId="0" fontId="2" fillId="0" borderId="0" applyAlignment="1" pivotButton="0" quotePrefix="0" xfId="0">
      <alignment horizontal="center" vertical="center" wrapText="1"/>
    </xf>
    <xf numFmtId="0" fontId="2" fillId="0" borderId="1" applyAlignment="1" pivotButton="0" quotePrefix="0" xfId="0">
      <alignment horizontal="center" vertical="center" wrapText="1"/>
    </xf>
    <xf numFmtId="0" fontId="3" fillId="4" borderId="1" pivotButton="0" quotePrefix="0" xfId="0"/>
    <xf numFmtId="165" fontId="0" fillId="0" borderId="1" applyAlignment="1" pivotButton="0" quotePrefix="0" xfId="0">
      <alignment horizontal="center" vertical="center" wrapText="1"/>
    </xf>
    <xf numFmtId="0" fontId="0" fillId="0" borderId="1" applyAlignment="1" pivotButton="0" quotePrefix="0" xfId="0">
      <alignment horizontal="left" vertical="center" wrapText="1"/>
    </xf>
    <xf numFmtId="0" fontId="2" fillId="4" borderId="1" applyAlignment="1" pivotButton="0" quotePrefix="0" xfId="0">
      <alignment horizontal="center" vertical="center" wrapText="1"/>
    </xf>
    <xf numFmtId="0" fontId="2" fillId="5" borderId="1" applyAlignment="1" pivotButton="0" quotePrefix="0" xfId="0">
      <alignment horizontal="center" vertical="center" wrapText="1"/>
    </xf>
    <xf numFmtId="0" fontId="2" fillId="6" borderId="1" applyAlignment="1" pivotButton="0" quotePrefix="0" xfId="0">
      <alignment horizontal="center" vertical="center" wrapText="1"/>
    </xf>
    <xf numFmtId="0" fontId="2" fillId="7" borderId="1" applyAlignment="1" pivotButton="0" quotePrefix="0" xfId="0">
      <alignment horizontal="center" vertical="center" wrapText="1"/>
    </xf>
    <xf numFmtId="0" fontId="0" fillId="0" borderId="0" applyAlignment="1" pivotButton="0" quotePrefix="0" xfId="0">
      <alignment horizontal="center" vertical="center" wrapText="1"/>
    </xf>
    <xf numFmtId="0" fontId="2" fillId="4" borderId="0" applyAlignment="1" pivotButton="0" quotePrefix="0" xfId="0">
      <alignment horizontal="center" vertical="center" wrapText="1"/>
    </xf>
  </cellXfs>
  <cellStyles count="1">
    <cellStyle name="Normal" xfId="0" builtinId="0" hidden="0"/>
  </cellStyles>
  <dxfs count="4">
    <dxf>
      <fill>
        <patternFill patternType="solid">
          <fgColor rgb="00f8cbad"/>
        </patternFill>
      </fill>
    </dxf>
    <dxf>
      <fill>
        <patternFill patternType="solid">
          <fgColor rgb="00f4b183"/>
        </patternFill>
      </fill>
    </dxf>
    <dxf>
      <fill>
        <patternFill patternType="solid">
          <fgColor rgb="00fff2cc"/>
        </patternFill>
      </fill>
    </dxf>
    <dxf>
      <fill>
        <patternFill patternType="solid">
          <fgColor rgb="00e2f0d9"/>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styles" Target="styles.xml" Id="rId9"/><Relationship Type="http://schemas.openxmlformats.org/officeDocument/2006/relationships/theme" Target="theme/theme1.xml" Id="rId10"/></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Residual Risk by Level</a:t>
            </a:r>
          </a:p>
        </rich>
      </tx>
    </title>
    <plotArea>
      <barChart>
        <barDir val="col"/>
        <grouping val="clustered"/>
        <ser>
          <idx val="0"/>
          <order val="0"/>
          <tx>
            <strRef>
              <f>'Dashboard'!E3</f>
            </strRef>
          </tx>
          <spPr>
            <a:ln xmlns:a="http://schemas.openxmlformats.org/drawingml/2006/main">
              <a:prstDash val="solid"/>
            </a:ln>
          </spPr>
          <cat>
            <numRef>
              <f>'Dashboard'!$D$4:$D$7</f>
            </numRef>
          </cat>
          <val>
            <numRef>
              <f>'Dashboard'!$E$4:$E$7</f>
            </numRef>
          </val>
        </ser>
        <gapWidth val="150"/>
        <axId val="10"/>
        <axId val="100"/>
      </barChart>
      <catAx>
        <axId val="10"/>
        <scaling>
          <orientation val="minMax"/>
        </scaling>
        <axPos val="l"/>
        <title>
          <tx>
            <rich>
              <a:bodyPr xmlns:a="http://schemas.openxmlformats.org/drawingml/2006/main"/>
              <a:p xmlns:a="http://schemas.openxmlformats.org/drawingml/2006/main">
                <a:pPr>
                  <a:defRPr/>
                </a:pPr>
                <a:r>
                  <a:t>Level</a:t>
                </a:r>
              </a:p>
            </rich>
          </tx>
        </title>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Count</a:t>
                </a:r>
              </a:p>
            </rich>
          </tx>
        </title>
        <majorTickMark val="none"/>
        <minorTickMark val="none"/>
        <crossAx val="10"/>
      </valAx>
    </plotArea>
    <legend>
      <legendPos val="r"/>
    </legend>
    <plotVisOnly val="1"/>
    <dispBlanksAs val="gap"/>
  </chart>
</chartSpace>
</file>

<file path=xl/charts/chart2.xml><?xml version="1.0" encoding="utf-8"?>
<chartSpace xmlns="http://schemas.openxmlformats.org/drawingml/2006/chart">
  <chart>
    <title>
      <tx>
        <rich>
          <a:bodyPr xmlns:a="http://schemas.openxmlformats.org/drawingml/2006/main"/>
          <a:p xmlns:a="http://schemas.openxmlformats.org/drawingml/2006/main">
            <a:pPr>
              <a:defRPr/>
            </a:pPr>
            <a:r>
              <a:t>High+Critical by Category</a:t>
            </a:r>
          </a:p>
        </rich>
      </tx>
    </title>
    <plotArea>
      <barChart>
        <barDir val="col"/>
        <grouping val="clustered"/>
        <ser>
          <idx val="0"/>
          <order val="0"/>
          <tx>
            <strRef>
              <f>'Dashboard'!I3</f>
            </strRef>
          </tx>
          <spPr>
            <a:ln xmlns:a="http://schemas.openxmlformats.org/drawingml/2006/main">
              <a:prstDash val="solid"/>
            </a:ln>
          </spPr>
          <cat>
            <numRef>
              <f>'Dashboard'!$H$4:$H$12</f>
            </numRef>
          </cat>
          <val>
            <numRef>
              <f>'Dashboard'!$I$4:$I$12</f>
            </numRef>
          </val>
        </ser>
        <gapWidth val="150"/>
        <axId val="10"/>
        <axId val="100"/>
      </barChart>
      <catAx>
        <axId val="10"/>
        <scaling>
          <orientation val="minMax"/>
        </scaling>
        <axPos val="l"/>
        <title>
          <tx>
            <rich>
              <a:bodyPr xmlns:a="http://schemas.openxmlformats.org/drawingml/2006/main"/>
              <a:p xmlns:a="http://schemas.openxmlformats.org/drawingml/2006/main">
                <a:pPr>
                  <a:defRPr/>
                </a:pPr>
                <a:r>
                  <a:t>Category</a:t>
                </a:r>
              </a:p>
            </rich>
          </tx>
        </title>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Count</a:t>
                </a:r>
              </a:p>
            </rich>
          </tx>
        </title>
        <majorTickMark val="none"/>
        <minorTickMark val="none"/>
        <crossAx val="10"/>
      </valAx>
    </plotArea>
    <legend>
      <legendPos val="r"/>
    </legend>
    <plotVisOnly val="1"/>
    <dispBlanksAs val="gap"/>
  </chart>
</chartSpace>
</file>

<file path=xl/charts/chart3.xml><?xml version="1.0" encoding="utf-8"?>
<chartSpace xmlns="http://schemas.openxmlformats.org/drawingml/2006/chart">
  <chart>
    <title>
      <tx>
        <rich>
          <a:bodyPr xmlns:a="http://schemas.openxmlformats.org/drawingml/2006/main"/>
          <a:p xmlns:a="http://schemas.openxmlformats.org/drawingml/2006/main">
            <a:pPr>
              <a:defRPr/>
            </a:pPr>
            <a:r>
              <a:t>Risks by Velocity</a:t>
            </a:r>
          </a:p>
        </rich>
      </tx>
    </title>
    <plotArea>
      <barChart>
        <barDir val="col"/>
        <grouping val="clustered"/>
        <ser>
          <idx val="0"/>
          <order val="0"/>
          <tx>
            <strRef>
              <f>'Dashboard'!B17</f>
            </strRef>
          </tx>
          <spPr>
            <a:ln xmlns:a="http://schemas.openxmlformats.org/drawingml/2006/main">
              <a:prstDash val="solid"/>
            </a:ln>
          </spPr>
          <cat>
            <numRef>
              <f>'Dashboard'!$A$18:$A$20</f>
            </numRef>
          </cat>
          <val>
            <numRef>
              <f>'Dashboard'!$B$18:$B$20</f>
            </numRef>
          </val>
        </ser>
        <gapWidth val="150"/>
        <axId val="10"/>
        <axId val="100"/>
      </barChart>
      <catAx>
        <axId val="10"/>
        <scaling>
          <orientation val="minMax"/>
        </scaling>
        <axPos val="l"/>
        <title>
          <tx>
            <rich>
              <a:bodyPr xmlns:a="http://schemas.openxmlformats.org/drawingml/2006/main"/>
              <a:p xmlns:a="http://schemas.openxmlformats.org/drawingml/2006/main">
                <a:pPr>
                  <a:defRPr/>
                </a:pPr>
                <a:r>
                  <a:t>Velocity</a:t>
                </a:r>
              </a:p>
            </rich>
          </tx>
        </title>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Count</a:t>
                </a:r>
              </a:p>
            </rich>
          </tx>
        </title>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 Type="http://schemas.openxmlformats.org/officeDocument/2006/relationships/chart" Target="/xl/charts/chart2.xml" Id="rId2"/><Relationship Type="http://schemas.openxmlformats.org/officeDocument/2006/relationships/chart" Target="/xl/charts/chart3.xml" Id="rId3"/></Relationships>
</file>

<file path=xl/drawings/drawing1.xml><?xml version="1.0" encoding="utf-8"?>
<wsDr xmlns="http://schemas.openxmlformats.org/drawingml/2006/spreadsheetDrawing">
  <oneCellAnchor>
    <from>
      <col>3</col>
      <colOff>0</colOff>
      <row>9</row>
      <rowOff>0</rowOff>
    </from>
    <ext cx="7920000" cy="432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oneCellAnchor>
    <from>
      <col>7</col>
      <colOff>0</colOff>
      <row>9</row>
      <rowOff>0</rowOff>
    </from>
    <ext cx="7920000" cy="4320000"/>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oneCellAnchor>
  <oneCellAnchor>
    <from>
      <col>0</col>
      <colOff>0</colOff>
      <row>20</row>
      <rowOff>0</rowOff>
    </from>
    <ext cx="7200000" cy="3600000"/>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oneCellAnchor>
</wsDr>
</file>

<file path=xl/tables/table1.xml><?xml version="1.0" encoding="utf-8"?>
<table xmlns="http://schemas.openxmlformats.org/spreadsheetml/2006/main" id="1" name="tblRiskRegister" displayName="tblRiskRegister" ref="A2:AD32" headerRowCount="1">
  <autoFilter ref="A2:AD32"/>
  <tableColumns count="30">
    <tableColumn id="1" name="ID"/>
    <tableColumn id="2" name="Category"/>
    <tableColumn id="3" name="Risk Title"/>
    <tableColumn id="4" name="Description"/>
    <tableColumn id="5" name="Cause"/>
    <tableColumn id="6" name="Consequence"/>
    <tableColumn id="7" name="Inh Likelihood (1-5)"/>
    <tableColumn id="8" name="Inh Impact (1-5)"/>
    <tableColumn id="9" name="Inh Score"/>
    <tableColumn id="10" name="Inh Level"/>
    <tableColumn id="11" name="Controls (Names)"/>
    <tableColumn id="12" name="Control Effectiveness"/>
    <tableColumn id="13" name="Res Likelihood (1-5)"/>
    <tableColumn id="14" name="Res Impact (1-5)"/>
    <tableColumn id="15" name="Res Score"/>
    <tableColumn id="16" name="Res Level"/>
    <tableColumn id="17" name="Owner"/>
    <tableColumn id="18" name="Response Strategy"/>
    <tableColumn id="19" name="Action IDs"/>
    <tableColumn id="20" name="Due Date"/>
    <tableColumn id="21" name="Status"/>
    <tableColumn id="22" name="Velocity"/>
    <tableColumn id="23" name="Review Date"/>
    <tableColumn id="24" name="Last Updated"/>
    <tableColumn id="25" name="Notes"/>
    <tableColumn id="26" name="Risk Code"/>
    <tableColumn id="27" name="Risk Age (days)"/>
    <tableColumn id="28" name="Next Review (auto)"/>
    <tableColumn id="29" name="Days to Review"/>
    <tableColumn id="30" name="Escalate?"/>
  </tableColumns>
  <tableStyleInfo name="TableStyleMedium9" showRowStripes="1"/>
</table>
</file>

<file path=xl/tables/table2.xml><?xml version="1.0" encoding="utf-8"?>
<table xmlns="http://schemas.openxmlformats.org/spreadsheetml/2006/main" id="2" name="tblControls" displayName="tblControls" ref="A2:H12" headerRowCount="1">
  <autoFilter ref="A2:H12"/>
  <tableColumns count="8">
    <tableColumn id="1" name="Ctrl ID"/>
    <tableColumn id="2" name="Control Name"/>
    <tableColumn id="3" name="Type (Prev/Det/Cor)"/>
    <tableColumn id="4" name="Frequency"/>
    <tableColumn id="5" name="Owner"/>
    <tableColumn id="6" name="Effectiveness"/>
    <tableColumn id="7" name="Documentation"/>
    <tableColumn id="8" name="Notes"/>
  </tableColumns>
  <tableStyleInfo name="TableStyleMedium2" showRowStripes="1"/>
</table>
</file>

<file path=xl/tables/table3.xml><?xml version="1.0" encoding="utf-8"?>
<table xmlns="http://schemas.openxmlformats.org/spreadsheetml/2006/main" id="3" name="tblActions" displayName="tblActions" ref="A2:M22" headerRowCount="1">
  <autoFilter ref="A2:M22"/>
  <tableColumns count="13">
    <tableColumn id="1" name="Action ID"/>
    <tableColumn id="2" name="Risk ID"/>
    <tableColumn id="3" name="Action"/>
    <tableColumn id="4" name="Owner"/>
    <tableColumn id="5" name="Priority"/>
    <tableColumn id="6" name="Due Date"/>
    <tableColumn id="7" name="% Complete"/>
    <tableColumn id="8" name="Status"/>
    <tableColumn id="9" name="Comment"/>
    <tableColumn id="10" name="Closed Date"/>
    <tableColumn id="11" name="Days Remaining"/>
    <tableColumn id="12" name="Overdue?"/>
    <tableColumn id="13" name="Health"/>
  </tableColumns>
  <tableStyleInfo name="TableStyleMedium4"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Relationships xmlns="http://schemas.openxmlformats.org/package/2006/relationships"><Relationship Type="http://schemas.openxmlformats.org/officeDocument/2006/relationships/table" Target="/xl/tables/table1.xml" Id="rId1"/></Relationships>
</file>

<file path=xl/worksheets/_rels/sheet4.xml.rels><Relationships xmlns="http://schemas.openxmlformats.org/package/2006/relationships"><Relationship Type="http://schemas.openxmlformats.org/officeDocument/2006/relationships/table" Target="/xl/tables/table2.xml" Id="rId1"/></Relationships>
</file>

<file path=xl/worksheets/_rels/sheet5.xml.rels><Relationships xmlns="http://schemas.openxmlformats.org/package/2006/relationships"><Relationship Type="http://schemas.openxmlformats.org/officeDocument/2006/relationships/table" Target="/xl/tables/table3.xml" Id="rId1"/></Relationships>
</file>

<file path=xl/worksheets/_rels/sheet7.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cols>
    <col width="120" customWidth="1" min="1" max="1"/>
  </cols>
  <sheetData>
    <row r="1">
      <c r="A1" s="1" t="inlineStr">
        <is>
          <t xml:space="preserve">MODE D'EMPLOI — Modèle Excel Complet de Gestion des Risques (ERM) — Version Automatisée
Parcours recommandé :
1) Paramétrez vos seuils dans 'Risk_Appetite' (Low/Medium/High/Critical).
2) Renseignez/complétez le 'Risk_Register' (préfilié) pour vos risques.
3) Déclarez vos 'Controls_Library' (préfiliée) et liez-les aux risques.
4) Définissez vos actions dans 'Action_Plan' (préfiliée) et suivez leur avancement.
5) Visualisez la matrice 5x5 (inhérente &amp; résiduelle) dans 'Risk_Matrix'.
6) Pilotez via 'Dashboard' (KPIs, répartitions, alertes, échéances &lt; 7 jours).
7) Consultez 'Flux_Risque' pour la descendance des flux du processus ERM.
Automatisations ajoutées :
- Codes risque auto (R-0001…), âge du risque (jours), prochaine revue automatique selon vélocité,
  jours restants avant revue, drapeau d'escalade (Residual High/Critical et action non Close).
- Actions : statut de santé (On Track / At Risk / Late), surlignage couleurs et indicateurs KPI (Due in 7 days).
- Dashboard enrichi (Due next 7 days, moyenne du score résiduel, distribution par vélocité).
Notes : formules en anglais pour compatibilité Excel internationale (IF, COUNTIF, COUNTIFS, TODAY, AVERAGEIF).
</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28" customWidth="1" min="1" max="1"/>
    <col width="18" customWidth="1" min="2" max="2"/>
    <col width="60" customWidth="1" min="3" max="3"/>
  </cols>
  <sheetData>
    <row r="1">
      <c r="A1" s="2" t="inlineStr">
        <is>
          <t>Risk Appetite — Thresholds for Risk Levels</t>
        </is>
      </c>
    </row>
    <row r="2">
      <c r="A2" s="3" t="inlineStr">
        <is>
          <t>Level</t>
        </is>
      </c>
      <c r="B2" s="3" t="inlineStr">
        <is>
          <t>Max Score</t>
        </is>
      </c>
      <c r="C2" s="3" t="inlineStr">
        <is>
          <t>Comment</t>
        </is>
      </c>
    </row>
    <row r="3">
      <c r="A3" s="4" t="inlineStr">
        <is>
          <t>Low</t>
        </is>
      </c>
      <c r="B3" s="4" t="n">
        <v>6</v>
      </c>
      <c r="C3" s="4" t="inlineStr">
        <is>
          <t>Scores ≤ this are Low</t>
        </is>
      </c>
    </row>
    <row r="4">
      <c r="A4" s="4" t="inlineStr">
        <is>
          <t>Medium</t>
        </is>
      </c>
      <c r="B4" s="4" t="n">
        <v>12</v>
      </c>
      <c r="C4" s="4" t="inlineStr">
        <is>
          <t>Scores ≤ this are Medium</t>
        </is>
      </c>
    </row>
    <row r="5">
      <c r="A5" s="4" t="inlineStr">
        <is>
          <t>High</t>
        </is>
      </c>
      <c r="B5" s="4" t="n">
        <v>19</v>
      </c>
      <c r="C5" s="4" t="inlineStr">
        <is>
          <t>Scores ≤ this are High</t>
        </is>
      </c>
    </row>
    <row r="6">
      <c r="A6" s="4" t="inlineStr">
        <is>
          <t>Critical</t>
        </is>
      </c>
      <c r="B6" s="4" t="n">
        <v>25</v>
      </c>
      <c r="C6" s="4" t="inlineStr">
        <is>
          <t>Above High is Critical (max 25)</t>
        </is>
      </c>
    </row>
  </sheetData>
  <mergeCells count="1">
    <mergeCell ref="A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AD32"/>
  <sheetViews>
    <sheetView workbookViewId="0">
      <selection activeCell="A1" sqref="A1"/>
    </sheetView>
  </sheetViews>
  <sheetFormatPr baseColWidth="8" defaultRowHeight="15"/>
  <cols>
    <col width="6" customWidth="1" min="1" max="1"/>
    <col width="16" customWidth="1" min="2" max="2"/>
    <col width="28" customWidth="1" min="3" max="3"/>
    <col width="34" customWidth="1" min="4" max="4"/>
    <col width="26" customWidth="1" min="5" max="5"/>
    <col width="26" customWidth="1" min="6" max="6"/>
    <col width="14" customWidth="1" min="7" max="7"/>
    <col width="12" customWidth="1" min="8" max="8"/>
    <col width="10" customWidth="1" min="9" max="9"/>
    <col width="12" customWidth="1" min="10" max="10"/>
    <col width="26" customWidth="1" min="11" max="11"/>
    <col width="18" customWidth="1" min="12" max="12"/>
    <col width="14" customWidth="1" min="13" max="13"/>
    <col width="12" customWidth="1" min="14" max="14"/>
    <col width="10" customWidth="1" min="15" max="15"/>
    <col width="12" customWidth="1" min="16" max="16"/>
    <col width="18" customWidth="1" min="17" max="17"/>
    <col width="16" customWidth="1" min="18" max="18"/>
    <col width="18" customWidth="1" min="19" max="19"/>
    <col width="14" customWidth="1" min="20" max="20"/>
    <col width="16" customWidth="1" min="21" max="21"/>
    <col width="12" customWidth="1" min="22" max="22"/>
    <col width="14" customWidth="1" min="23" max="23"/>
    <col width="14" customWidth="1" min="24" max="24"/>
    <col width="28" customWidth="1" min="25" max="25"/>
    <col width="12" customWidth="1" min="26" max="26"/>
    <col width="14" customWidth="1" min="27" max="27"/>
    <col width="16" customWidth="1" min="28" max="28"/>
    <col width="14" customWidth="1" min="29" max="29"/>
    <col width="12" customWidth="1" min="30" max="30"/>
  </cols>
  <sheetData>
    <row r="1">
      <c r="A1" s="2" t="inlineStr">
        <is>
          <t>Risk Register — Identification, Assessment, Response &amp; Monitoring (Automated)</t>
        </is>
      </c>
    </row>
    <row r="2">
      <c r="A2" s="3" t="inlineStr">
        <is>
          <t>ID</t>
        </is>
      </c>
      <c r="B2" s="3" t="inlineStr">
        <is>
          <t>Category</t>
        </is>
      </c>
      <c r="C2" s="3" t="inlineStr">
        <is>
          <t>Risk Title</t>
        </is>
      </c>
      <c r="D2" s="3" t="inlineStr">
        <is>
          <t>Description</t>
        </is>
      </c>
      <c r="E2" s="3" t="inlineStr">
        <is>
          <t>Cause</t>
        </is>
      </c>
      <c r="F2" s="3" t="inlineStr">
        <is>
          <t>Consequence</t>
        </is>
      </c>
      <c r="G2" s="3" t="inlineStr">
        <is>
          <t>Inh Likelihood (1-5)</t>
        </is>
      </c>
      <c r="H2" s="3" t="inlineStr">
        <is>
          <t>Inh Impact (1-5)</t>
        </is>
      </c>
      <c r="I2" s="3" t="inlineStr">
        <is>
          <t>Inh Score</t>
        </is>
      </c>
      <c r="J2" s="3" t="inlineStr">
        <is>
          <t>Inh Level</t>
        </is>
      </c>
      <c r="K2" s="3" t="inlineStr">
        <is>
          <t>Controls (Names)</t>
        </is>
      </c>
      <c r="L2" s="3" t="inlineStr">
        <is>
          <t>Control Effectiveness</t>
        </is>
      </c>
      <c r="M2" s="3" t="inlineStr">
        <is>
          <t>Res Likelihood (1-5)</t>
        </is>
      </c>
      <c r="N2" s="3" t="inlineStr">
        <is>
          <t>Res Impact (1-5)</t>
        </is>
      </c>
      <c r="O2" s="3" t="inlineStr">
        <is>
          <t>Res Score</t>
        </is>
      </c>
      <c r="P2" s="3" t="inlineStr">
        <is>
          <t>Res Level</t>
        </is>
      </c>
      <c r="Q2" s="3" t="inlineStr">
        <is>
          <t>Owner</t>
        </is>
      </c>
      <c r="R2" s="3" t="inlineStr">
        <is>
          <t>Response Strategy</t>
        </is>
      </c>
      <c r="S2" s="3" t="inlineStr">
        <is>
          <t>Action IDs</t>
        </is>
      </c>
      <c r="T2" s="3" t="inlineStr">
        <is>
          <t>Due Date</t>
        </is>
      </c>
      <c r="U2" s="3" t="inlineStr">
        <is>
          <t>Status</t>
        </is>
      </c>
      <c r="V2" s="3" t="inlineStr">
        <is>
          <t>Velocity</t>
        </is>
      </c>
      <c r="W2" s="3" t="inlineStr">
        <is>
          <t>Review Date</t>
        </is>
      </c>
      <c r="X2" s="3" t="inlineStr">
        <is>
          <t>Last Updated</t>
        </is>
      </c>
      <c r="Y2" s="3" t="inlineStr">
        <is>
          <t>Notes</t>
        </is>
      </c>
      <c r="Z2" s="3" t="inlineStr">
        <is>
          <t>Risk Code</t>
        </is>
      </c>
      <c r="AA2" s="3" t="inlineStr">
        <is>
          <t>Risk Age (days)</t>
        </is>
      </c>
      <c r="AB2" s="3" t="inlineStr">
        <is>
          <t>Next Review (auto)</t>
        </is>
      </c>
      <c r="AC2" s="3" t="inlineStr">
        <is>
          <t>Days to Review</t>
        </is>
      </c>
      <c r="AD2" s="3" t="inlineStr">
        <is>
          <t>Escalate?</t>
        </is>
      </c>
    </row>
    <row r="3">
      <c r="A3" s="4" t="n">
        <v>1</v>
      </c>
      <c r="B3" s="4" t="inlineStr">
        <is>
          <t>Operational</t>
        </is>
      </c>
      <c r="C3" s="4" t="inlineStr">
        <is>
          <t>Stockout in critical SKUs</t>
        </is>
      </c>
      <c r="D3" s="4" t="inlineStr">
        <is>
          <t>Demand spike and supplier delay</t>
        </is>
      </c>
      <c r="E3" s="4" t="inlineStr">
        <is>
          <t>Single-source supplier</t>
        </is>
      </c>
      <c r="F3" s="4" t="inlineStr">
        <is>
          <t>Lost sales, service level drop</t>
        </is>
      </c>
      <c r="G3" s="4" t="n">
        <v>3</v>
      </c>
      <c r="H3" s="4" t="n">
        <v>4</v>
      </c>
      <c r="I3" s="4">
        <f>G3*H3</f>
        <v/>
      </c>
      <c r="J3" s="4">
        <f>IF(I3&lt;=Risk_Appetite!$B$3,"Low",IF(I3&lt;=Risk_Appetite!$B$4,"Medium",IF(I3&lt;=Risk_Appetite!$B$5,"High","Critical")))</f>
        <v/>
      </c>
      <c r="K3" s="4" t="inlineStr">
        <is>
          <t>Safety stock policy; reorder point</t>
        </is>
      </c>
      <c r="L3" s="4" t="inlineStr">
        <is>
          <t>Moderate</t>
        </is>
      </c>
      <c r="M3" s="4" t="n">
        <v>2</v>
      </c>
      <c r="N3" s="4" t="n">
        <v>3</v>
      </c>
      <c r="O3" s="4">
        <f>M3*N3</f>
        <v/>
      </c>
      <c r="P3" s="4">
        <f>IF(O3&lt;=Risk_Appetite!$B$3,"Low",IF(O3&lt;=Risk_Appetite!$B$4,"Medium",IF(O3&lt;=Risk_Appetite!$B$5,"High","Critical")))</f>
        <v/>
      </c>
      <c r="Q3" s="4" t="inlineStr">
        <is>
          <t>Supply Manager</t>
        </is>
      </c>
      <c r="R3" s="4" t="inlineStr">
        <is>
          <t>Reduce</t>
        </is>
      </c>
      <c r="S3" s="4" t="inlineStr">
        <is>
          <t>A-001</t>
        </is>
      </c>
      <c r="T3" s="5" t="inlineStr">
        <is>
          <t>2025-09-15</t>
        </is>
      </c>
      <c r="U3" s="4" t="inlineStr">
        <is>
          <t>Open</t>
        </is>
      </c>
      <c r="V3" s="4" t="inlineStr">
        <is>
          <t>Fast</t>
        </is>
      </c>
      <c r="W3" s="5" t="inlineStr">
        <is>
          <t>2025-08-30</t>
        </is>
      </c>
      <c r="X3" s="5" t="inlineStr">
        <is>
          <t>2025-08-15</t>
        </is>
      </c>
      <c r="Y3" s="4" t="inlineStr">
        <is>
          <t>Increase alternate suppliers</t>
        </is>
      </c>
      <c r="Z3" s="4">
        <f>"R-"&amp;TEXT(A3,"0000")</f>
        <v/>
      </c>
      <c r="AA3" s="4">
        <f>IF(X3&lt;&gt;"",TODAY()-X3,"")</f>
        <v/>
      </c>
      <c r="AB3" s="5">
        <f>IF(V3="Fast",TODAY()+30,IF(V3="Medium",TODAY()+60,TODAY()+90))</f>
        <v/>
      </c>
      <c r="AC3" s="4">
        <f>AA3-TODAY()</f>
        <v/>
      </c>
      <c r="AD3" s="4">
        <f>IF(AND(OR(P3="High",P3="Critical"),U3&lt;&gt;"Closed"),"Yes","No")</f>
        <v/>
      </c>
    </row>
    <row r="4">
      <c r="A4" s="4" t="n">
        <v>2</v>
      </c>
      <c r="B4" s="4" t="inlineStr">
        <is>
          <t>IT</t>
        </is>
      </c>
      <c r="C4" s="4" t="inlineStr">
        <is>
          <t>Ransomware on ERP</t>
        </is>
      </c>
      <c r="D4" s="4" t="inlineStr">
        <is>
          <t>Phishing leads to credential theft</t>
        </is>
      </c>
      <c r="E4" s="4" t="inlineStr">
        <is>
          <t>Weak MFA adoption</t>
        </is>
      </c>
      <c r="F4" s="4" t="inlineStr">
        <is>
          <t>Systems down, data loss</t>
        </is>
      </c>
      <c r="G4" s="4" t="n">
        <v>3</v>
      </c>
      <c r="H4" s="4" t="n">
        <v>5</v>
      </c>
      <c r="I4" s="4">
        <f>G4*H4</f>
        <v/>
      </c>
      <c r="J4" s="4">
        <f>IF(I4&lt;=Risk_Appetite!$B$3,"Low",IF(I4&lt;=Risk_Appetite!$B$4,"Medium",IF(I4&lt;=Risk_Appetite!$B$5,"High","Critical")))</f>
        <v/>
      </c>
      <c r="K4" s="4" t="inlineStr">
        <is>
          <t>EDR + backups; awareness</t>
        </is>
      </c>
      <c r="L4" s="4" t="inlineStr">
        <is>
          <t>Strong</t>
        </is>
      </c>
      <c r="M4" s="4" t="n">
        <v>2</v>
      </c>
      <c r="N4" s="4" t="n">
        <v>4</v>
      </c>
      <c r="O4" s="4">
        <f>M4*N4</f>
        <v/>
      </c>
      <c r="P4" s="4">
        <f>IF(O4&lt;=Risk_Appetite!$B$3,"Low",IF(O4&lt;=Risk_Appetite!$B$4,"Medium",IF(O4&lt;=Risk_Appetite!$B$5,"High","Critical")))</f>
        <v/>
      </c>
      <c r="Q4" s="4" t="inlineStr">
        <is>
          <t>CISO</t>
        </is>
      </c>
      <c r="R4" s="4" t="inlineStr">
        <is>
          <t>Reduce</t>
        </is>
      </c>
      <c r="S4" s="4" t="inlineStr">
        <is>
          <t>A-010</t>
        </is>
      </c>
      <c r="T4" s="5" t="inlineStr">
        <is>
          <t>2025-08-31</t>
        </is>
      </c>
      <c r="U4" s="4" t="inlineStr">
        <is>
          <t>In progress</t>
        </is>
      </c>
      <c r="V4" s="4" t="inlineStr">
        <is>
          <t>Fast</t>
        </is>
      </c>
      <c r="W4" s="5" t="inlineStr">
        <is>
          <t>2025-08-20</t>
        </is>
      </c>
      <c r="X4" s="5" t="inlineStr">
        <is>
          <t>2025-08-15</t>
        </is>
      </c>
      <c r="Y4" s="4" t="inlineStr">
        <is>
          <t>Rollout MFA company-wide</t>
        </is>
      </c>
      <c r="Z4" s="4">
        <f>"R-"&amp;TEXT(A4,"0000")</f>
        <v/>
      </c>
      <c r="AA4" s="4">
        <f>IF(X4&lt;&gt;"",TODAY()-X4,"")</f>
        <v/>
      </c>
      <c r="AB4" s="5">
        <f>IF(V4="Fast",TODAY()+30,IF(V4="Medium",TODAY()+60,TODAY()+90))</f>
        <v/>
      </c>
      <c r="AC4" s="4">
        <f>AA4-TODAY()</f>
        <v/>
      </c>
      <c r="AD4" s="4">
        <f>IF(AND(OR(P4="High",P4="Critical"),U4&lt;&gt;"Closed"),"Yes","No")</f>
        <v/>
      </c>
    </row>
    <row r="5">
      <c r="A5" s="4" t="n">
        <v>3</v>
      </c>
      <c r="B5" s="4" t="inlineStr">
        <is>
          <t>Compliance</t>
        </is>
      </c>
      <c r="C5" s="4" t="inlineStr">
        <is>
          <t>Late regulatory filings</t>
        </is>
      </c>
      <c r="D5" s="4" t="inlineStr">
        <is>
          <t>Manual steps and lack of checklist</t>
        </is>
      </c>
      <c r="E5" s="4" t="inlineStr">
        <is>
          <t>Process gaps</t>
        </is>
      </c>
      <c r="F5" s="4" t="inlineStr">
        <is>
          <t>Fines and reputation</t>
        </is>
      </c>
      <c r="G5" s="4" t="n">
        <v>3</v>
      </c>
      <c r="H5" s="4" t="n">
        <v>4</v>
      </c>
      <c r="I5" s="4">
        <f>G5*H5</f>
        <v/>
      </c>
      <c r="J5" s="4">
        <f>IF(I5&lt;=Risk_Appetite!$B$3,"Low",IF(I5&lt;=Risk_Appetite!$B$4,"Medium",IF(I5&lt;=Risk_Appetite!$B$5,"High","Critical")))</f>
        <v/>
      </c>
      <c r="K5" s="4" t="inlineStr">
        <is>
          <t>Checklist + deadline tracker</t>
        </is>
      </c>
      <c r="L5" s="4" t="inlineStr">
        <is>
          <t>Moderate</t>
        </is>
      </c>
      <c r="M5" s="4" t="n">
        <v>2</v>
      </c>
      <c r="N5" s="4" t="n">
        <v>3</v>
      </c>
      <c r="O5" s="4">
        <f>M5*N5</f>
        <v/>
      </c>
      <c r="P5" s="4">
        <f>IF(O5&lt;=Risk_Appetite!$B$3,"Low",IF(O5&lt;=Risk_Appetite!$B$4,"Medium",IF(O5&lt;=Risk_Appetite!$B$5,"High","Critical")))</f>
        <v/>
      </c>
      <c r="Q5" s="4" t="inlineStr">
        <is>
          <t>Compliance Lead</t>
        </is>
      </c>
      <c r="R5" s="4" t="inlineStr">
        <is>
          <t>Reduce</t>
        </is>
      </c>
      <c r="S5" s="4" t="inlineStr">
        <is>
          <t>A-020</t>
        </is>
      </c>
      <c r="T5" s="5" t="inlineStr">
        <is>
          <t>2025-10-10</t>
        </is>
      </c>
      <c r="U5" s="4" t="inlineStr">
        <is>
          <t>Open</t>
        </is>
      </c>
      <c r="V5" s="4" t="inlineStr">
        <is>
          <t>Medium</t>
        </is>
      </c>
      <c r="W5" s="5" t="inlineStr">
        <is>
          <t>2025-08-10</t>
        </is>
      </c>
      <c r="X5" s="5" t="inlineStr">
        <is>
          <t>2025-08-15</t>
        </is>
      </c>
      <c r="Y5" s="4" t="inlineStr">
        <is>
          <t>Implement calendar alerts</t>
        </is>
      </c>
      <c r="Z5" s="4">
        <f>"R-"&amp;TEXT(A5,"0000")</f>
        <v/>
      </c>
      <c r="AA5" s="4">
        <f>IF(X5&lt;&gt;"",TODAY()-X5,"")</f>
        <v/>
      </c>
      <c r="AB5" s="5">
        <f>IF(V5="Fast",TODAY()+30,IF(V5="Medium",TODAY()+60,TODAY()+90))</f>
        <v/>
      </c>
      <c r="AC5" s="4">
        <f>AA5-TODAY()</f>
        <v/>
      </c>
      <c r="AD5" s="4">
        <f>IF(AND(OR(P5="High",P5="Critical"),U5&lt;&gt;"Closed"),"Yes","No")</f>
        <v/>
      </c>
    </row>
    <row r="6">
      <c r="A6" s="4" t="n">
        <v>4</v>
      </c>
      <c r="B6" s="4" t="inlineStr">
        <is>
          <t>Financial</t>
        </is>
      </c>
      <c r="C6" s="4" t="inlineStr">
        <is>
          <t>FX volatility on imports</t>
        </is>
      </c>
      <c r="D6" s="4" t="inlineStr">
        <is>
          <t>Unhedged exposure</t>
        </is>
      </c>
      <c r="E6" s="4" t="inlineStr">
        <is>
          <t>Rate swings</t>
        </is>
      </c>
      <c r="F6" s="4" t="inlineStr">
        <is>
          <t>Margin erosion</t>
        </is>
      </c>
      <c r="G6" s="4" t="n">
        <v>2</v>
      </c>
      <c r="H6" s="4" t="n">
        <v>4</v>
      </c>
      <c r="I6" s="4">
        <f>G6*H6</f>
        <v/>
      </c>
      <c r="J6" s="4">
        <f>IF(I6&lt;=Risk_Appetite!$B$3,"Low",IF(I6&lt;=Risk_Appetite!$B$4,"Medium",IF(I6&lt;=Risk_Appetite!$B$5,"High","Critical")))</f>
        <v/>
      </c>
      <c r="K6" s="4" t="inlineStr">
        <is>
          <t>Hedging policy</t>
        </is>
      </c>
      <c r="L6" s="4" t="inlineStr">
        <is>
          <t>Moderate</t>
        </is>
      </c>
      <c r="M6" s="4" t="n">
        <v>2</v>
      </c>
      <c r="N6" s="4" t="n">
        <v>3</v>
      </c>
      <c r="O6" s="4">
        <f>M6*N6</f>
        <v/>
      </c>
      <c r="P6" s="4">
        <f>IF(O6&lt;=Risk_Appetite!$B$3,"Low",IF(O6&lt;=Risk_Appetite!$B$4,"Medium",IF(O6&lt;=Risk_Appetite!$B$5,"High","Critical")))</f>
        <v/>
      </c>
      <c r="Q6" s="4" t="inlineStr">
        <is>
          <t>Treasurer</t>
        </is>
      </c>
      <c r="R6" s="4" t="inlineStr">
        <is>
          <t>Transfer</t>
        </is>
      </c>
      <c r="S6" s="4" t="inlineStr">
        <is>
          <t>A-030</t>
        </is>
      </c>
      <c r="T6" s="5" t="inlineStr">
        <is>
          <t>2025-09-30</t>
        </is>
      </c>
      <c r="U6" s="4" t="inlineStr">
        <is>
          <t>Open</t>
        </is>
      </c>
      <c r="V6" s="4" t="inlineStr">
        <is>
          <t>Medium</t>
        </is>
      </c>
      <c r="W6" s="5" t="inlineStr">
        <is>
          <t>2025-08-18</t>
        </is>
      </c>
      <c r="X6" s="5" t="inlineStr">
        <is>
          <t>2025-08-15</t>
        </is>
      </c>
      <c r="Y6" s="4" t="inlineStr">
        <is>
          <t>Start forward contracts</t>
        </is>
      </c>
      <c r="Z6" s="4">
        <f>"R-"&amp;TEXT(A6,"0000")</f>
        <v/>
      </c>
      <c r="AA6" s="4">
        <f>IF(X6&lt;&gt;"",TODAY()-X6,"")</f>
        <v/>
      </c>
      <c r="AB6" s="5">
        <f>IF(V6="Fast",TODAY()+30,IF(V6="Medium",TODAY()+60,TODAY()+90))</f>
        <v/>
      </c>
      <c r="AC6" s="4">
        <f>AA6-TODAY()</f>
        <v/>
      </c>
      <c r="AD6" s="4">
        <f>IF(AND(OR(P6="High",P6="Critical"),U6&lt;&gt;"Closed"),"Yes","No")</f>
        <v/>
      </c>
    </row>
    <row r="7">
      <c r="A7" s="4" t="n">
        <v>5</v>
      </c>
      <c r="B7" s="4" t="inlineStr">
        <is>
          <t>Security</t>
        </is>
      </c>
      <c r="C7" s="4" t="inlineStr">
        <is>
          <t>Privilege escalation</t>
        </is>
      </c>
      <c r="D7" s="4" t="inlineStr">
        <is>
          <t>Excessive admin rights</t>
        </is>
      </c>
      <c r="E7" s="4" t="inlineStr">
        <is>
          <t>Poor RBAC</t>
        </is>
      </c>
      <c r="F7" s="4" t="inlineStr">
        <is>
          <t>Data breaches</t>
        </is>
      </c>
      <c r="G7" s="4" t="n">
        <v>3</v>
      </c>
      <c r="H7" s="4" t="n">
        <v>4</v>
      </c>
      <c r="I7" s="4">
        <f>G7*H7</f>
        <v/>
      </c>
      <c r="J7" s="4">
        <f>IF(I7&lt;=Risk_Appetite!$B$3,"Low",IF(I7&lt;=Risk_Appetite!$B$4,"Medium",IF(I7&lt;=Risk_Appetite!$B$5,"High","Critical")))</f>
        <v/>
      </c>
      <c r="K7" s="4" t="inlineStr">
        <is>
          <t>IAM reviews</t>
        </is>
      </c>
      <c r="L7" s="4" t="inlineStr">
        <is>
          <t>Moderate</t>
        </is>
      </c>
      <c r="M7" s="4" t="n">
        <v>2</v>
      </c>
      <c r="N7" s="4" t="n">
        <v>3</v>
      </c>
      <c r="O7" s="4">
        <f>M7*N7</f>
        <v/>
      </c>
      <c r="P7" s="4">
        <f>IF(O7&lt;=Risk_Appetite!$B$3,"Low",IF(O7&lt;=Risk_Appetite!$B$4,"Medium",IF(O7&lt;=Risk_Appetite!$B$5,"High","Critical")))</f>
        <v/>
      </c>
      <c r="Q7" s="4" t="inlineStr">
        <is>
          <t>IT Sec Manager</t>
        </is>
      </c>
      <c r="R7" s="4" t="inlineStr">
        <is>
          <t>Reduce</t>
        </is>
      </c>
      <c r="S7" s="4" t="inlineStr">
        <is>
          <t>A-040</t>
        </is>
      </c>
      <c r="T7" s="5" t="inlineStr">
        <is>
          <t>2025-09-05</t>
        </is>
      </c>
      <c r="U7" s="4" t="inlineStr">
        <is>
          <t>Open</t>
        </is>
      </c>
      <c r="V7" s="4" t="inlineStr">
        <is>
          <t>Fast</t>
        </is>
      </c>
      <c r="W7" s="5" t="inlineStr">
        <is>
          <t>2025-08-22</t>
        </is>
      </c>
      <c r="X7" s="5" t="inlineStr">
        <is>
          <t>2025-08-15</t>
        </is>
      </c>
      <c r="Y7" s="4" t="inlineStr">
        <is>
          <t>Revoke unnecessary rights</t>
        </is>
      </c>
      <c r="Z7" s="4">
        <f>"R-"&amp;TEXT(A7,"0000")</f>
        <v/>
      </c>
      <c r="AA7" s="4">
        <f>IF(X7&lt;&gt;"",TODAY()-X7,"")</f>
        <v/>
      </c>
      <c r="AB7" s="5">
        <f>IF(V7="Fast",TODAY()+30,IF(V7="Medium",TODAY()+60,TODAY()+90))</f>
        <v/>
      </c>
      <c r="AC7" s="4">
        <f>AA7-TODAY()</f>
        <v/>
      </c>
      <c r="AD7" s="4">
        <f>IF(AND(OR(P7="High",P7="Critical"),U7&lt;&gt;"Closed"),"Yes","No")</f>
        <v/>
      </c>
    </row>
    <row r="8">
      <c r="A8" s="4" t="n">
        <v>6</v>
      </c>
      <c r="B8" s="4" t="inlineStr">
        <is>
          <t>HSE</t>
        </is>
      </c>
      <c r="C8" s="4" t="inlineStr">
        <is>
          <t>Forklift collisions</t>
        </is>
      </c>
      <c r="D8" s="4" t="inlineStr">
        <is>
          <t>Narrow lanes</t>
        </is>
      </c>
      <c r="E8" s="4" t="inlineStr">
        <is>
          <t>Layout constraints</t>
        </is>
      </c>
      <c r="F8" s="4" t="inlineStr">
        <is>
          <t>Injury risk</t>
        </is>
      </c>
      <c r="G8" s="4" t="n">
        <v>2</v>
      </c>
      <c r="H8" s="4" t="n">
        <v>5</v>
      </c>
      <c r="I8" s="4">
        <f>G8*H8</f>
        <v/>
      </c>
      <c r="J8" s="4">
        <f>IF(I8&lt;=Risk_Appetite!$B$3,"Low",IF(I8&lt;=Risk_Appetite!$B$4,"Medium",IF(I8&lt;=Risk_Appetite!$B$5,"High","Critical")))</f>
        <v/>
      </c>
      <c r="K8" s="4" t="inlineStr">
        <is>
          <t>Signage; training; speed control</t>
        </is>
      </c>
      <c r="L8" s="4" t="inlineStr">
        <is>
          <t>Moderate</t>
        </is>
      </c>
      <c r="M8" s="4" t="n">
        <v>1</v>
      </c>
      <c r="N8" s="4" t="n">
        <v>4</v>
      </c>
      <c r="O8" s="4">
        <f>M8*N8</f>
        <v/>
      </c>
      <c r="P8" s="4">
        <f>IF(O8&lt;=Risk_Appetite!$B$3,"Low",IF(O8&lt;=Risk_Appetite!$B$4,"Medium",IF(O8&lt;=Risk_Appetite!$B$5,"High","Critical")))</f>
        <v/>
      </c>
      <c r="Q8" s="4" t="inlineStr">
        <is>
          <t>HSE Manager</t>
        </is>
      </c>
      <c r="R8" s="4" t="inlineStr">
        <is>
          <t>Reduce</t>
        </is>
      </c>
      <c r="S8" s="4" t="inlineStr">
        <is>
          <t>A-050</t>
        </is>
      </c>
      <c r="T8" s="5" t="inlineStr">
        <is>
          <t>2025-09-25</t>
        </is>
      </c>
      <c r="U8" s="4" t="inlineStr">
        <is>
          <t>Open</t>
        </is>
      </c>
      <c r="V8" s="4" t="inlineStr">
        <is>
          <t>Slow</t>
        </is>
      </c>
      <c r="W8" s="5" t="inlineStr">
        <is>
          <t>2025-08-15</t>
        </is>
      </c>
      <c r="X8" s="5" t="inlineStr">
        <is>
          <t>2025-08-15</t>
        </is>
      </c>
      <c r="Y8" s="4" t="inlineStr">
        <is>
          <t>Repaint lanes, add mirrors</t>
        </is>
      </c>
      <c r="Z8" s="4">
        <f>"R-"&amp;TEXT(A8,"0000")</f>
        <v/>
      </c>
      <c r="AA8" s="4">
        <f>IF(X8&lt;&gt;"",TODAY()-X8,"")</f>
        <v/>
      </c>
      <c r="AB8" s="5">
        <f>IF(V8="Fast",TODAY()+30,IF(V8="Medium",TODAY()+60,TODAY()+90))</f>
        <v/>
      </c>
      <c r="AC8" s="4">
        <f>AA8-TODAY()</f>
        <v/>
      </c>
      <c r="AD8" s="4">
        <f>IF(AND(OR(P8="High",P8="Critical"),U8&lt;&gt;"Closed"),"Yes","No")</f>
        <v/>
      </c>
    </row>
    <row r="9">
      <c r="A9" s="4" t="n">
        <v>7</v>
      </c>
      <c r="B9" s="4" t="inlineStr">
        <is>
          <t>Project</t>
        </is>
      </c>
      <c r="C9" s="4" t="inlineStr">
        <is>
          <t>Scope creep</t>
        </is>
      </c>
      <c r="D9" s="4" t="inlineStr">
        <is>
          <t>Weak change control</t>
        </is>
      </c>
      <c r="E9" s="4" t="inlineStr">
        <is>
          <t>Stakeholder requests</t>
        </is>
      </c>
      <c r="F9" s="4" t="inlineStr">
        <is>
          <t>Budget/time overrun</t>
        </is>
      </c>
      <c r="G9" s="4" t="n">
        <v>3</v>
      </c>
      <c r="H9" s="4" t="n">
        <v>3</v>
      </c>
      <c r="I9" s="4">
        <f>G9*H9</f>
        <v/>
      </c>
      <c r="J9" s="4">
        <f>IF(I9&lt;=Risk_Appetite!$B$3,"Low",IF(I9&lt;=Risk_Appetite!$B$4,"Medium",IF(I9&lt;=Risk_Appetite!$B$5,"High","Critical")))</f>
        <v/>
      </c>
      <c r="K9" s="4" t="inlineStr">
        <is>
          <t>Change board</t>
        </is>
      </c>
      <c r="L9" s="4" t="inlineStr">
        <is>
          <t>Moderate</t>
        </is>
      </c>
      <c r="M9" s="4" t="n">
        <v>2</v>
      </c>
      <c r="N9" s="4" t="n">
        <v>3</v>
      </c>
      <c r="O9" s="4">
        <f>M9*N9</f>
        <v/>
      </c>
      <c r="P9" s="4">
        <f>IF(O9&lt;=Risk_Appetite!$B$3,"Low",IF(O9&lt;=Risk_Appetite!$B$4,"Medium",IF(O9&lt;=Risk_Appetite!$B$5,"High","Critical")))</f>
        <v/>
      </c>
      <c r="Q9" s="4" t="inlineStr">
        <is>
          <t>PMO</t>
        </is>
      </c>
      <c r="R9" s="4" t="inlineStr">
        <is>
          <t>Avoid</t>
        </is>
      </c>
      <c r="S9" s="4" t="inlineStr">
        <is>
          <t>A-060</t>
        </is>
      </c>
      <c r="T9" s="5" t="inlineStr">
        <is>
          <t>2025-10-05</t>
        </is>
      </c>
      <c r="U9" s="4" t="inlineStr">
        <is>
          <t>Open</t>
        </is>
      </c>
      <c r="V9" s="4" t="inlineStr">
        <is>
          <t>Medium</t>
        </is>
      </c>
      <c r="W9" s="5" t="inlineStr">
        <is>
          <t>2025-08-12</t>
        </is>
      </c>
      <c r="X9" s="5" t="inlineStr">
        <is>
          <t>2025-08-15</t>
        </is>
      </c>
      <c r="Y9" s="4" t="inlineStr">
        <is>
          <t>Enforce change requests</t>
        </is>
      </c>
      <c r="Z9" s="4">
        <f>"R-"&amp;TEXT(A9,"0000")</f>
        <v/>
      </c>
      <c r="AA9" s="4">
        <f>IF(X9&lt;&gt;"",TODAY()-X9,"")</f>
        <v/>
      </c>
      <c r="AB9" s="5">
        <f>IF(V9="Fast",TODAY()+30,IF(V9="Medium",TODAY()+60,TODAY()+90))</f>
        <v/>
      </c>
      <c r="AC9" s="4">
        <f>AA9-TODAY()</f>
        <v/>
      </c>
      <c r="AD9" s="4">
        <f>IF(AND(OR(P9="High",P9="Critical"),U9&lt;&gt;"Closed"),"Yes","No")</f>
        <v/>
      </c>
    </row>
    <row r="10">
      <c r="A10" s="4" t="n">
        <v>8</v>
      </c>
      <c r="B10" s="4" t="inlineStr">
        <is>
          <t>Reputational</t>
        </is>
      </c>
      <c r="C10" s="4" t="inlineStr">
        <is>
          <t>Social media backlash</t>
        </is>
      </c>
      <c r="D10" s="4" t="inlineStr">
        <is>
          <t>Poor crisis response</t>
        </is>
      </c>
      <c r="E10" s="4" t="inlineStr">
        <is>
          <t>Delayed communications</t>
        </is>
      </c>
      <c r="F10" s="4" t="inlineStr">
        <is>
          <t>Brand damage</t>
        </is>
      </c>
      <c r="G10" s="4" t="n">
        <v>2</v>
      </c>
      <c r="H10" s="4" t="n">
        <v>4</v>
      </c>
      <c r="I10" s="4">
        <f>G10*H10</f>
        <v/>
      </c>
      <c r="J10" s="4">
        <f>IF(I10&lt;=Risk_Appetite!$B$3,"Low",IF(I10&lt;=Risk_Appetite!$B$4,"Medium",IF(I10&lt;=Risk_Appetite!$B$5,"High","Critical")))</f>
        <v/>
      </c>
      <c r="K10" s="4" t="inlineStr">
        <is>
          <t>Crisis comms plan</t>
        </is>
      </c>
      <c r="L10" s="4" t="inlineStr">
        <is>
          <t>Strong</t>
        </is>
      </c>
      <c r="M10" s="4" t="n">
        <v>2</v>
      </c>
      <c r="N10" s="4" t="n">
        <v>3</v>
      </c>
      <c r="O10" s="4">
        <f>M10*N10</f>
        <v/>
      </c>
      <c r="P10" s="4">
        <f>IF(O10&lt;=Risk_Appetite!$B$3,"Low",IF(O10&lt;=Risk_Appetite!$B$4,"Medium",IF(O10&lt;=Risk_Appetite!$B$5,"High","Critical")))</f>
        <v/>
      </c>
      <c r="Q10" s="4" t="inlineStr">
        <is>
          <t>Comms Director</t>
        </is>
      </c>
      <c r="R10" s="4" t="inlineStr">
        <is>
          <t>Reduce</t>
        </is>
      </c>
      <c r="S10" s="4" t="inlineStr">
        <is>
          <t>A-070</t>
        </is>
      </c>
      <c r="T10" s="5" t="inlineStr">
        <is>
          <t>2025-09-18</t>
        </is>
      </c>
      <c r="U10" s="4" t="inlineStr">
        <is>
          <t>Open</t>
        </is>
      </c>
      <c r="V10" s="4" t="inlineStr">
        <is>
          <t>Fast</t>
        </is>
      </c>
      <c r="W10" s="5" t="inlineStr">
        <is>
          <t>2025-08-25</t>
        </is>
      </c>
      <c r="X10" s="5" t="inlineStr">
        <is>
          <t>2025-08-15</t>
        </is>
      </c>
      <c r="Y10" s="4" t="inlineStr">
        <is>
          <t>Crisis playbook drills</t>
        </is>
      </c>
      <c r="Z10" s="4">
        <f>"R-"&amp;TEXT(A10,"0000")</f>
        <v/>
      </c>
      <c r="AA10" s="4">
        <f>IF(X10&lt;&gt;"",TODAY()-X10,"")</f>
        <v/>
      </c>
      <c r="AB10" s="5">
        <f>IF(V10="Fast",TODAY()+30,IF(V10="Medium",TODAY()+60,TODAY()+90))</f>
        <v/>
      </c>
      <c r="AC10" s="4">
        <f>AA10-TODAY()</f>
        <v/>
      </c>
      <c r="AD10" s="4">
        <f>IF(AND(OR(P10="High",P10="Critical"),U10&lt;&gt;"Closed"),"Yes","No")</f>
        <v/>
      </c>
    </row>
    <row r="11">
      <c r="A11" s="4" t="n">
        <v>9</v>
      </c>
      <c r="B11" s="4" t="inlineStr">
        <is>
          <t>Strategic</t>
        </is>
      </c>
      <c r="C11" s="4" t="inlineStr">
        <is>
          <t>Key customer churn</t>
        </is>
      </c>
      <c r="D11" s="4" t="inlineStr">
        <is>
          <t>Weak value proposition</t>
        </is>
      </c>
      <c r="E11" s="4" t="inlineStr">
        <is>
          <t>Competitor offers</t>
        </is>
      </c>
      <c r="F11" s="4" t="inlineStr">
        <is>
          <t>Revenue loss</t>
        </is>
      </c>
      <c r="G11" s="4" t="n">
        <v>3</v>
      </c>
      <c r="H11" s="4" t="n">
        <v>4</v>
      </c>
      <c r="I11" s="4">
        <f>G11*H11</f>
        <v/>
      </c>
      <c r="J11" s="4">
        <f>IF(I11&lt;=Risk_Appetite!$B$3,"Low",IF(I11&lt;=Risk_Appetite!$B$4,"Medium",IF(I11&lt;=Risk_Appetite!$B$5,"High","Critical")))</f>
        <v/>
      </c>
      <c r="K11" s="4" t="inlineStr">
        <is>
          <t>Customer success program</t>
        </is>
      </c>
      <c r="L11" s="4" t="inlineStr">
        <is>
          <t>Moderate</t>
        </is>
      </c>
      <c r="M11" s="4" t="n">
        <v>2</v>
      </c>
      <c r="N11" s="4" t="n">
        <v>3</v>
      </c>
      <c r="O11" s="4">
        <f>M11*N11</f>
        <v/>
      </c>
      <c r="P11" s="4">
        <f>IF(O11&lt;=Risk_Appetite!$B$3,"Low",IF(O11&lt;=Risk_Appetite!$B$4,"Medium",IF(O11&lt;=Risk_Appetite!$B$5,"High","Critical")))</f>
        <v/>
      </c>
      <c r="Q11" s="4" t="inlineStr">
        <is>
          <t>Sales Director</t>
        </is>
      </c>
      <c r="R11" s="4" t="inlineStr">
        <is>
          <t>Reduce</t>
        </is>
      </c>
      <c r="S11" s="4" t="inlineStr">
        <is>
          <t>A-080</t>
        </is>
      </c>
      <c r="T11" s="5" t="inlineStr">
        <is>
          <t>2025-10-20</t>
        </is>
      </c>
      <c r="U11" s="4" t="inlineStr">
        <is>
          <t>Open</t>
        </is>
      </c>
      <c r="V11" s="4" t="inlineStr">
        <is>
          <t>Medium</t>
        </is>
      </c>
      <c r="W11" s="5" t="inlineStr">
        <is>
          <t>2025-08-28</t>
        </is>
      </c>
      <c r="X11" s="5" t="inlineStr">
        <is>
          <t>2025-08-15</t>
        </is>
      </c>
      <c r="Y11" s="4" t="inlineStr">
        <is>
          <t>Renewal playbook</t>
        </is>
      </c>
      <c r="Z11" s="4">
        <f>"R-"&amp;TEXT(A11,"0000")</f>
        <v/>
      </c>
      <c r="AA11" s="4">
        <f>IF(X11&lt;&gt;"",TODAY()-X11,"")</f>
        <v/>
      </c>
      <c r="AB11" s="5">
        <f>IF(V11="Fast",TODAY()+30,IF(V11="Medium",TODAY()+60,TODAY()+90))</f>
        <v/>
      </c>
      <c r="AC11" s="4">
        <f>AA11-TODAY()</f>
        <v/>
      </c>
      <c r="AD11" s="4">
        <f>IF(AND(OR(P11="High",P11="Critical"),U11&lt;&gt;"Closed"),"Yes","No")</f>
        <v/>
      </c>
    </row>
    <row r="12">
      <c r="A12" s="4" t="n">
        <v>10</v>
      </c>
      <c r="B12" s="4" t="inlineStr">
        <is>
          <t>Strategic</t>
        </is>
      </c>
      <c r="C12" s="4" t="inlineStr">
        <is>
          <t>Key customer churn (site B)</t>
        </is>
      </c>
      <c r="D12" s="4" t="inlineStr">
        <is>
          <t>Weak value proposition</t>
        </is>
      </c>
      <c r="E12" s="4" t="inlineStr">
        <is>
          <t>Competitor offers</t>
        </is>
      </c>
      <c r="F12" s="4" t="inlineStr">
        <is>
          <t>Revenue loss</t>
        </is>
      </c>
      <c r="G12" s="4" t="n">
        <v>3</v>
      </c>
      <c r="H12" s="4" t="n">
        <v>4</v>
      </c>
      <c r="I12" s="4">
        <f>G12*H12</f>
        <v/>
      </c>
      <c r="J12" s="4">
        <f>IF(I12&lt;=Risk_Appetite!$B$3,"Low",IF(I12&lt;=Risk_Appetite!$B$4,"Medium",IF(I12&lt;=Risk_Appetite!$B$5,"High","Critical")))</f>
        <v/>
      </c>
      <c r="K12" s="4" t="inlineStr">
        <is>
          <t>Customer success program</t>
        </is>
      </c>
      <c r="L12" s="4" t="inlineStr">
        <is>
          <t>Moderate</t>
        </is>
      </c>
      <c r="M12" s="4" t="n">
        <v>2</v>
      </c>
      <c r="N12" s="4" t="n">
        <v>3</v>
      </c>
      <c r="O12" s="4">
        <f>M12*N12</f>
        <v/>
      </c>
      <c r="P12" s="4">
        <f>IF(O12&lt;=Risk_Appetite!$B$3,"Low",IF(O12&lt;=Risk_Appetite!$B$4,"Medium",IF(O12&lt;=Risk_Appetite!$B$5,"High","Critical")))</f>
        <v/>
      </c>
      <c r="Q12" s="4" t="inlineStr">
        <is>
          <t>Sales Director</t>
        </is>
      </c>
      <c r="R12" s="4" t="inlineStr">
        <is>
          <t>Reduce</t>
        </is>
      </c>
      <c r="S12" s="4" t="inlineStr">
        <is>
          <t>A-080</t>
        </is>
      </c>
      <c r="T12" s="5" t="inlineStr">
        <is>
          <t>2025-09-10</t>
        </is>
      </c>
      <c r="U12" s="4" t="inlineStr">
        <is>
          <t>In progress</t>
        </is>
      </c>
      <c r="V12" s="4" t="inlineStr">
        <is>
          <t>Fast</t>
        </is>
      </c>
      <c r="W12" s="5" t="inlineStr">
        <is>
          <t>2025-08-28</t>
        </is>
      </c>
      <c r="X12" s="5" t="inlineStr">
        <is>
          <t>2025-08-15</t>
        </is>
      </c>
      <c r="Y12" s="4" t="inlineStr">
        <is>
          <t>Renewal playbook (extended)</t>
        </is>
      </c>
      <c r="Z12" s="4">
        <f>"R-"&amp;TEXT(A12,"0000")</f>
        <v/>
      </c>
      <c r="AA12" s="4">
        <f>IF(X12&lt;&gt;"",TODAY()-X12,"")</f>
        <v/>
      </c>
      <c r="AB12" s="5">
        <f>IF(V12="Fast",TODAY()+30,IF(V12="Medium",TODAY()+60,TODAY()+90))</f>
        <v/>
      </c>
      <c r="AC12" s="4">
        <f>AA12-TODAY()</f>
        <v/>
      </c>
      <c r="AD12" s="4">
        <f>IF(AND(OR(P12="High",P12="Critical"),U12&lt;&gt;"Closed"),"Yes","No")</f>
        <v/>
      </c>
    </row>
    <row r="13">
      <c r="A13" s="4" t="n">
        <v>11</v>
      </c>
      <c r="B13" s="4" t="inlineStr">
        <is>
          <t>Strategic</t>
        </is>
      </c>
      <c r="C13" s="4" t="inlineStr">
        <is>
          <t>Key customer churn (site B) (site B)</t>
        </is>
      </c>
      <c r="D13" s="4" t="inlineStr">
        <is>
          <t>Weak value proposition</t>
        </is>
      </c>
      <c r="E13" s="4" t="inlineStr">
        <is>
          <t>Competitor offers</t>
        </is>
      </c>
      <c r="F13" s="4" t="inlineStr">
        <is>
          <t>Revenue loss</t>
        </is>
      </c>
      <c r="G13" s="4" t="n">
        <v>3</v>
      </c>
      <c r="H13" s="4" t="n">
        <v>4</v>
      </c>
      <c r="I13" s="4">
        <f>G13*H13</f>
        <v/>
      </c>
      <c r="J13" s="4">
        <f>IF(I13&lt;=Risk_Appetite!$B$3,"Low",IF(I13&lt;=Risk_Appetite!$B$4,"Medium",IF(I13&lt;=Risk_Appetite!$B$5,"High","Critical")))</f>
        <v/>
      </c>
      <c r="K13" s="4" t="inlineStr">
        <is>
          <t>Customer success program</t>
        </is>
      </c>
      <c r="L13" s="4" t="inlineStr">
        <is>
          <t>Moderate</t>
        </is>
      </c>
      <c r="M13" s="4" t="n">
        <v>2</v>
      </c>
      <c r="N13" s="4" t="n">
        <v>3</v>
      </c>
      <c r="O13" s="4">
        <f>M13*N13</f>
        <v/>
      </c>
      <c r="P13" s="4">
        <f>IF(O13&lt;=Risk_Appetite!$B$3,"Low",IF(O13&lt;=Risk_Appetite!$B$4,"Medium",IF(O13&lt;=Risk_Appetite!$B$5,"High","Critical")))</f>
        <v/>
      </c>
      <c r="Q13" s="4" t="inlineStr">
        <is>
          <t>Sales Director</t>
        </is>
      </c>
      <c r="R13" s="4" t="inlineStr">
        <is>
          <t>Reduce</t>
        </is>
      </c>
      <c r="S13" s="4" t="inlineStr">
        <is>
          <t>A-080</t>
        </is>
      </c>
      <c r="T13" s="5" t="inlineStr">
        <is>
          <t>2025-10-15</t>
        </is>
      </c>
      <c r="U13" s="4" t="inlineStr">
        <is>
          <t>Open</t>
        </is>
      </c>
      <c r="V13" s="4" t="inlineStr">
        <is>
          <t>Medium</t>
        </is>
      </c>
      <c r="W13" s="5" t="inlineStr">
        <is>
          <t>2025-08-28</t>
        </is>
      </c>
      <c r="X13" s="5" t="inlineStr">
        <is>
          <t>2025-08-15</t>
        </is>
      </c>
      <c r="Y13" s="4" t="inlineStr">
        <is>
          <t>Renewal playbook (extended) (extended)</t>
        </is>
      </c>
      <c r="Z13" s="4">
        <f>"R-"&amp;TEXT(A13,"0000")</f>
        <v/>
      </c>
      <c r="AA13" s="4">
        <f>IF(X13&lt;&gt;"",TODAY()-X13,"")</f>
        <v/>
      </c>
      <c r="AB13" s="5">
        <f>IF(V13="Fast",TODAY()+30,IF(V13="Medium",TODAY()+60,TODAY()+90))</f>
        <v/>
      </c>
      <c r="AC13" s="4">
        <f>AA13-TODAY()</f>
        <v/>
      </c>
      <c r="AD13" s="4">
        <f>IF(AND(OR(P13="High",P13="Critical"),U13&lt;&gt;"Closed"),"Yes","No")</f>
        <v/>
      </c>
    </row>
    <row r="14">
      <c r="A14" s="4" t="n">
        <v>12</v>
      </c>
      <c r="B14" s="4" t="inlineStr">
        <is>
          <t>Strategic</t>
        </is>
      </c>
      <c r="C14" s="4" t="inlineStr">
        <is>
          <t>Key customer churn (site B) (site B) (site B)</t>
        </is>
      </c>
      <c r="D14" s="4" t="inlineStr">
        <is>
          <t>Weak value proposition</t>
        </is>
      </c>
      <c r="E14" s="4" t="inlineStr">
        <is>
          <t>Competitor offers</t>
        </is>
      </c>
      <c r="F14" s="4" t="inlineStr">
        <is>
          <t>Revenue loss</t>
        </is>
      </c>
      <c r="G14" s="4" t="n">
        <v>3</v>
      </c>
      <c r="H14" s="4" t="n">
        <v>4</v>
      </c>
      <c r="I14" s="4">
        <f>G14*H14</f>
        <v/>
      </c>
      <c r="J14" s="4">
        <f>IF(I14&lt;=Risk_Appetite!$B$3,"Low",IF(I14&lt;=Risk_Appetite!$B$4,"Medium",IF(I14&lt;=Risk_Appetite!$B$5,"High","Critical")))</f>
        <v/>
      </c>
      <c r="K14" s="4" t="inlineStr">
        <is>
          <t>Customer success program</t>
        </is>
      </c>
      <c r="L14" s="4" t="inlineStr">
        <is>
          <t>Moderate</t>
        </is>
      </c>
      <c r="M14" s="4" t="n">
        <v>2</v>
      </c>
      <c r="N14" s="4" t="n">
        <v>3</v>
      </c>
      <c r="O14" s="4">
        <f>M14*N14</f>
        <v/>
      </c>
      <c r="P14" s="4">
        <f>IF(O14&lt;=Risk_Appetite!$B$3,"Low",IF(O14&lt;=Risk_Appetite!$B$4,"Medium",IF(O14&lt;=Risk_Appetite!$B$5,"High","Critical")))</f>
        <v/>
      </c>
      <c r="Q14" s="4" t="inlineStr">
        <is>
          <t>Sales Director</t>
        </is>
      </c>
      <c r="R14" s="4" t="inlineStr">
        <is>
          <t>Reduce</t>
        </is>
      </c>
      <c r="S14" s="4" t="inlineStr">
        <is>
          <t>A-080</t>
        </is>
      </c>
      <c r="T14" s="5" t="inlineStr">
        <is>
          <t>2025-09-10</t>
        </is>
      </c>
      <c r="U14" s="4" t="inlineStr">
        <is>
          <t>In progress</t>
        </is>
      </c>
      <c r="V14" s="4" t="inlineStr">
        <is>
          <t>Fast</t>
        </is>
      </c>
      <c r="W14" s="5" t="inlineStr">
        <is>
          <t>2025-08-28</t>
        </is>
      </c>
      <c r="X14" s="5" t="inlineStr">
        <is>
          <t>2025-08-15</t>
        </is>
      </c>
      <c r="Y14" s="4" t="inlineStr">
        <is>
          <t>Renewal playbook (extended) (extended) (extended)</t>
        </is>
      </c>
      <c r="Z14" s="4">
        <f>"R-"&amp;TEXT(A14,"0000")</f>
        <v/>
      </c>
      <c r="AA14" s="4">
        <f>IF(X14&lt;&gt;"",TODAY()-X14,"")</f>
        <v/>
      </c>
      <c r="AB14" s="5">
        <f>IF(V14="Fast",TODAY()+30,IF(V14="Medium",TODAY()+60,TODAY()+90))</f>
        <v/>
      </c>
      <c r="AC14" s="4">
        <f>AA14-TODAY()</f>
        <v/>
      </c>
      <c r="AD14" s="4">
        <f>IF(AND(OR(P14="High",P14="Critical"),U14&lt;&gt;"Closed"),"Yes","No")</f>
        <v/>
      </c>
    </row>
    <row r="15">
      <c r="A15" s="4" t="n">
        <v>13</v>
      </c>
      <c r="B15" s="4" t="inlineStr">
        <is>
          <t>Strategic</t>
        </is>
      </c>
      <c r="C15" s="4" t="inlineStr">
        <is>
          <t>Key customer churn (site B) (site B) (site B) (site B)</t>
        </is>
      </c>
      <c r="D15" s="4" t="inlineStr">
        <is>
          <t>Weak value proposition</t>
        </is>
      </c>
      <c r="E15" s="4" t="inlineStr">
        <is>
          <t>Competitor offers</t>
        </is>
      </c>
      <c r="F15" s="4" t="inlineStr">
        <is>
          <t>Revenue loss</t>
        </is>
      </c>
      <c r="G15" s="4" t="n">
        <v>3</v>
      </c>
      <c r="H15" s="4" t="n">
        <v>4</v>
      </c>
      <c r="I15" s="4">
        <f>G15*H15</f>
        <v/>
      </c>
      <c r="J15" s="4">
        <f>IF(I15&lt;=Risk_Appetite!$B$3,"Low",IF(I15&lt;=Risk_Appetite!$B$4,"Medium",IF(I15&lt;=Risk_Appetite!$B$5,"High","Critical")))</f>
        <v/>
      </c>
      <c r="K15" s="4" t="inlineStr">
        <is>
          <t>Customer success program</t>
        </is>
      </c>
      <c r="L15" s="4" t="inlineStr">
        <is>
          <t>Moderate</t>
        </is>
      </c>
      <c r="M15" s="4" t="n">
        <v>2</v>
      </c>
      <c r="N15" s="4" t="n">
        <v>3</v>
      </c>
      <c r="O15" s="4">
        <f>M15*N15</f>
        <v/>
      </c>
      <c r="P15" s="4">
        <f>IF(O15&lt;=Risk_Appetite!$B$3,"Low",IF(O15&lt;=Risk_Appetite!$B$4,"Medium",IF(O15&lt;=Risk_Appetite!$B$5,"High","Critical")))</f>
        <v/>
      </c>
      <c r="Q15" s="4" t="inlineStr">
        <is>
          <t>Sales Director</t>
        </is>
      </c>
      <c r="R15" s="4" t="inlineStr">
        <is>
          <t>Reduce</t>
        </is>
      </c>
      <c r="S15" s="4" t="inlineStr">
        <is>
          <t>A-080</t>
        </is>
      </c>
      <c r="T15" s="5" t="inlineStr">
        <is>
          <t>2025-10-15</t>
        </is>
      </c>
      <c r="U15" s="4" t="inlineStr">
        <is>
          <t>Open</t>
        </is>
      </c>
      <c r="V15" s="4" t="inlineStr">
        <is>
          <t>Medium</t>
        </is>
      </c>
      <c r="W15" s="5" t="inlineStr">
        <is>
          <t>2025-08-28</t>
        </is>
      </c>
      <c r="X15" s="5" t="inlineStr">
        <is>
          <t>2025-08-15</t>
        </is>
      </c>
      <c r="Y15" s="4" t="inlineStr">
        <is>
          <t>Renewal playbook (extended) (extended) (extended) (extended)</t>
        </is>
      </c>
      <c r="Z15" s="4">
        <f>"R-"&amp;TEXT(A15,"0000")</f>
        <v/>
      </c>
      <c r="AA15" s="4">
        <f>IF(X15&lt;&gt;"",TODAY()-X15,"")</f>
        <v/>
      </c>
      <c r="AB15" s="5">
        <f>IF(V15="Fast",TODAY()+30,IF(V15="Medium",TODAY()+60,TODAY()+90))</f>
        <v/>
      </c>
      <c r="AC15" s="4">
        <f>AA15-TODAY()</f>
        <v/>
      </c>
      <c r="AD15" s="4">
        <f>IF(AND(OR(P15="High",P15="Critical"),U15&lt;&gt;"Closed"),"Yes","No")</f>
        <v/>
      </c>
    </row>
    <row r="16">
      <c r="A16" s="4" t="n">
        <v>14</v>
      </c>
      <c r="B16" s="4" t="inlineStr">
        <is>
          <t>Strategic</t>
        </is>
      </c>
      <c r="C16" s="4" t="inlineStr">
        <is>
          <t>Key customer churn (site B) (site B) (site B) (site B) (site B)</t>
        </is>
      </c>
      <c r="D16" s="4" t="inlineStr">
        <is>
          <t>Weak value proposition</t>
        </is>
      </c>
      <c r="E16" s="4" t="inlineStr">
        <is>
          <t>Competitor offers</t>
        </is>
      </c>
      <c r="F16" s="4" t="inlineStr">
        <is>
          <t>Revenue loss</t>
        </is>
      </c>
      <c r="G16" s="4" t="n">
        <v>3</v>
      </c>
      <c r="H16" s="4" t="n">
        <v>4</v>
      </c>
      <c r="I16" s="4">
        <f>G16*H16</f>
        <v/>
      </c>
      <c r="J16" s="4">
        <f>IF(I16&lt;=Risk_Appetite!$B$3,"Low",IF(I16&lt;=Risk_Appetite!$B$4,"Medium",IF(I16&lt;=Risk_Appetite!$B$5,"High","Critical")))</f>
        <v/>
      </c>
      <c r="K16" s="4" t="inlineStr">
        <is>
          <t>Customer success program</t>
        </is>
      </c>
      <c r="L16" s="4" t="inlineStr">
        <is>
          <t>Moderate</t>
        </is>
      </c>
      <c r="M16" s="4" t="n">
        <v>2</v>
      </c>
      <c r="N16" s="4" t="n">
        <v>3</v>
      </c>
      <c r="O16" s="4">
        <f>M16*N16</f>
        <v/>
      </c>
      <c r="P16" s="4">
        <f>IF(O16&lt;=Risk_Appetite!$B$3,"Low",IF(O16&lt;=Risk_Appetite!$B$4,"Medium",IF(O16&lt;=Risk_Appetite!$B$5,"High","Critical")))</f>
        <v/>
      </c>
      <c r="Q16" s="4" t="inlineStr">
        <is>
          <t>Sales Director</t>
        </is>
      </c>
      <c r="R16" s="4" t="inlineStr">
        <is>
          <t>Reduce</t>
        </is>
      </c>
      <c r="S16" s="4" t="inlineStr">
        <is>
          <t>A-080</t>
        </is>
      </c>
      <c r="T16" s="5" t="inlineStr">
        <is>
          <t>2025-09-10</t>
        </is>
      </c>
      <c r="U16" s="4" t="inlineStr">
        <is>
          <t>In progress</t>
        </is>
      </c>
      <c r="V16" s="4" t="inlineStr">
        <is>
          <t>Fast</t>
        </is>
      </c>
      <c r="W16" s="5" t="inlineStr">
        <is>
          <t>2025-08-28</t>
        </is>
      </c>
      <c r="X16" s="5" t="inlineStr">
        <is>
          <t>2025-08-15</t>
        </is>
      </c>
      <c r="Y16" s="4" t="inlineStr">
        <is>
          <t>Renewal playbook (extended) (extended) (extended) (extended) (extended)</t>
        </is>
      </c>
      <c r="Z16" s="4">
        <f>"R-"&amp;TEXT(A16,"0000")</f>
        <v/>
      </c>
      <c r="AA16" s="4">
        <f>IF(X16&lt;&gt;"",TODAY()-X16,"")</f>
        <v/>
      </c>
      <c r="AB16" s="5">
        <f>IF(V16="Fast",TODAY()+30,IF(V16="Medium",TODAY()+60,TODAY()+90))</f>
        <v/>
      </c>
      <c r="AC16" s="4">
        <f>AA16-TODAY()</f>
        <v/>
      </c>
      <c r="AD16" s="4">
        <f>IF(AND(OR(P16="High",P16="Critical"),U16&lt;&gt;"Closed"),"Yes","No")</f>
        <v/>
      </c>
    </row>
    <row r="17">
      <c r="A17" s="4" t="n">
        <v>15</v>
      </c>
      <c r="B17" s="4" t="inlineStr">
        <is>
          <t>Strategic</t>
        </is>
      </c>
      <c r="C17" s="4" t="inlineStr">
        <is>
          <t>Key customer churn (site B) (site B) (site B) (site B) (site B) (site B)</t>
        </is>
      </c>
      <c r="D17" s="4" t="inlineStr">
        <is>
          <t>Weak value proposition</t>
        </is>
      </c>
      <c r="E17" s="4" t="inlineStr">
        <is>
          <t>Competitor offers</t>
        </is>
      </c>
      <c r="F17" s="4" t="inlineStr">
        <is>
          <t>Revenue loss</t>
        </is>
      </c>
      <c r="G17" s="4" t="n">
        <v>3</v>
      </c>
      <c r="H17" s="4" t="n">
        <v>4</v>
      </c>
      <c r="I17" s="4">
        <f>G17*H17</f>
        <v/>
      </c>
      <c r="J17" s="4">
        <f>IF(I17&lt;=Risk_Appetite!$B$3,"Low",IF(I17&lt;=Risk_Appetite!$B$4,"Medium",IF(I17&lt;=Risk_Appetite!$B$5,"High","Critical")))</f>
        <v/>
      </c>
      <c r="K17" s="4" t="inlineStr">
        <is>
          <t>Customer success program</t>
        </is>
      </c>
      <c r="L17" s="4" t="inlineStr">
        <is>
          <t>Moderate</t>
        </is>
      </c>
      <c r="M17" s="4" t="n">
        <v>2</v>
      </c>
      <c r="N17" s="4" t="n">
        <v>3</v>
      </c>
      <c r="O17" s="4">
        <f>M17*N17</f>
        <v/>
      </c>
      <c r="P17" s="4">
        <f>IF(O17&lt;=Risk_Appetite!$B$3,"Low",IF(O17&lt;=Risk_Appetite!$B$4,"Medium",IF(O17&lt;=Risk_Appetite!$B$5,"High","Critical")))</f>
        <v/>
      </c>
      <c r="Q17" s="4" t="inlineStr">
        <is>
          <t>Sales Director</t>
        </is>
      </c>
      <c r="R17" s="4" t="inlineStr">
        <is>
          <t>Reduce</t>
        </is>
      </c>
      <c r="S17" s="4" t="inlineStr">
        <is>
          <t>A-080</t>
        </is>
      </c>
      <c r="T17" s="5" t="inlineStr">
        <is>
          <t>2025-10-15</t>
        </is>
      </c>
      <c r="U17" s="4" t="inlineStr">
        <is>
          <t>Open</t>
        </is>
      </c>
      <c r="V17" s="4" t="inlineStr">
        <is>
          <t>Medium</t>
        </is>
      </c>
      <c r="W17" s="5" t="inlineStr">
        <is>
          <t>2025-08-28</t>
        </is>
      </c>
      <c r="X17" s="5" t="inlineStr">
        <is>
          <t>2025-08-15</t>
        </is>
      </c>
      <c r="Y17" s="4" t="inlineStr">
        <is>
          <t>Renewal playbook (extended) (extended) (extended) (extended) (extended) (extended)</t>
        </is>
      </c>
      <c r="Z17" s="4">
        <f>"R-"&amp;TEXT(A17,"0000")</f>
        <v/>
      </c>
      <c r="AA17" s="4">
        <f>IF(X17&lt;&gt;"",TODAY()-X17,"")</f>
        <v/>
      </c>
      <c r="AB17" s="5">
        <f>IF(V17="Fast",TODAY()+30,IF(V17="Medium",TODAY()+60,TODAY()+90))</f>
        <v/>
      </c>
      <c r="AC17" s="4">
        <f>AA17-TODAY()</f>
        <v/>
      </c>
      <c r="AD17" s="4">
        <f>IF(AND(OR(P17="High",P17="Critical"),U17&lt;&gt;"Closed"),"Yes","No")</f>
        <v/>
      </c>
    </row>
    <row r="18">
      <c r="A18" s="4" t="n">
        <v>16</v>
      </c>
      <c r="B18" s="4" t="inlineStr">
        <is>
          <t>Strategic</t>
        </is>
      </c>
      <c r="C18" s="4" t="inlineStr">
        <is>
          <t>Key customer churn (site B) (site B) (site B) (site B) (site B) (site B) (site B)</t>
        </is>
      </c>
      <c r="D18" s="4" t="inlineStr">
        <is>
          <t>Weak value proposition</t>
        </is>
      </c>
      <c r="E18" s="4" t="inlineStr">
        <is>
          <t>Competitor offers</t>
        </is>
      </c>
      <c r="F18" s="4" t="inlineStr">
        <is>
          <t>Revenue loss</t>
        </is>
      </c>
      <c r="G18" s="4" t="n">
        <v>3</v>
      </c>
      <c r="H18" s="4" t="n">
        <v>4</v>
      </c>
      <c r="I18" s="4">
        <f>G18*H18</f>
        <v/>
      </c>
      <c r="J18" s="4">
        <f>IF(I18&lt;=Risk_Appetite!$B$3,"Low",IF(I18&lt;=Risk_Appetite!$B$4,"Medium",IF(I18&lt;=Risk_Appetite!$B$5,"High","Critical")))</f>
        <v/>
      </c>
      <c r="K18" s="4" t="inlineStr">
        <is>
          <t>Customer success program</t>
        </is>
      </c>
      <c r="L18" s="4" t="inlineStr">
        <is>
          <t>Moderate</t>
        </is>
      </c>
      <c r="M18" s="4" t="n">
        <v>2</v>
      </c>
      <c r="N18" s="4" t="n">
        <v>3</v>
      </c>
      <c r="O18" s="4">
        <f>M18*N18</f>
        <v/>
      </c>
      <c r="P18" s="4">
        <f>IF(O18&lt;=Risk_Appetite!$B$3,"Low",IF(O18&lt;=Risk_Appetite!$B$4,"Medium",IF(O18&lt;=Risk_Appetite!$B$5,"High","Critical")))</f>
        <v/>
      </c>
      <c r="Q18" s="4" t="inlineStr">
        <is>
          <t>Sales Director</t>
        </is>
      </c>
      <c r="R18" s="4" t="inlineStr">
        <is>
          <t>Reduce</t>
        </is>
      </c>
      <c r="S18" s="4" t="inlineStr">
        <is>
          <t>A-080</t>
        </is>
      </c>
      <c r="T18" s="5" t="inlineStr">
        <is>
          <t>2025-09-10</t>
        </is>
      </c>
      <c r="U18" s="4" t="inlineStr">
        <is>
          <t>In progress</t>
        </is>
      </c>
      <c r="V18" s="4" t="inlineStr">
        <is>
          <t>Fast</t>
        </is>
      </c>
      <c r="W18" s="5" t="inlineStr">
        <is>
          <t>2025-08-28</t>
        </is>
      </c>
      <c r="X18" s="5" t="inlineStr">
        <is>
          <t>2025-08-15</t>
        </is>
      </c>
      <c r="Y18" s="4" t="inlineStr">
        <is>
          <t>Renewal playbook (extended) (extended) (extended) (extended) (extended) (extended) (extended)</t>
        </is>
      </c>
      <c r="Z18" s="4">
        <f>"R-"&amp;TEXT(A18,"0000")</f>
        <v/>
      </c>
      <c r="AA18" s="4">
        <f>IF(X18&lt;&gt;"",TODAY()-X18,"")</f>
        <v/>
      </c>
      <c r="AB18" s="5">
        <f>IF(V18="Fast",TODAY()+30,IF(V18="Medium",TODAY()+60,TODAY()+90))</f>
        <v/>
      </c>
      <c r="AC18" s="4">
        <f>AA18-TODAY()</f>
        <v/>
      </c>
      <c r="AD18" s="4">
        <f>IF(AND(OR(P18="High",P18="Critical"),U18&lt;&gt;"Closed"),"Yes","No")</f>
        <v/>
      </c>
    </row>
    <row r="19">
      <c r="A19" s="4" t="n">
        <v>17</v>
      </c>
      <c r="B19" s="4" t="inlineStr">
        <is>
          <t>Strategic</t>
        </is>
      </c>
      <c r="C19" s="4" t="inlineStr">
        <is>
          <t>Key customer churn (site B) (site B) (site B) (site B) (site B) (site B) (site B) (site B)</t>
        </is>
      </c>
      <c r="D19" s="4" t="inlineStr">
        <is>
          <t>Weak value proposition</t>
        </is>
      </c>
      <c r="E19" s="4" t="inlineStr">
        <is>
          <t>Competitor offers</t>
        </is>
      </c>
      <c r="F19" s="4" t="inlineStr">
        <is>
          <t>Revenue loss</t>
        </is>
      </c>
      <c r="G19" s="4" t="n">
        <v>3</v>
      </c>
      <c r="H19" s="4" t="n">
        <v>4</v>
      </c>
      <c r="I19" s="4">
        <f>G19*H19</f>
        <v/>
      </c>
      <c r="J19" s="4">
        <f>IF(I19&lt;=Risk_Appetite!$B$3,"Low",IF(I19&lt;=Risk_Appetite!$B$4,"Medium",IF(I19&lt;=Risk_Appetite!$B$5,"High","Critical")))</f>
        <v/>
      </c>
      <c r="K19" s="4" t="inlineStr">
        <is>
          <t>Customer success program</t>
        </is>
      </c>
      <c r="L19" s="4" t="inlineStr">
        <is>
          <t>Moderate</t>
        </is>
      </c>
      <c r="M19" s="4" t="n">
        <v>2</v>
      </c>
      <c r="N19" s="4" t="n">
        <v>3</v>
      </c>
      <c r="O19" s="4">
        <f>M19*N19</f>
        <v/>
      </c>
      <c r="P19" s="4">
        <f>IF(O19&lt;=Risk_Appetite!$B$3,"Low",IF(O19&lt;=Risk_Appetite!$B$4,"Medium",IF(O19&lt;=Risk_Appetite!$B$5,"High","Critical")))</f>
        <v/>
      </c>
      <c r="Q19" s="4" t="inlineStr">
        <is>
          <t>Sales Director</t>
        </is>
      </c>
      <c r="R19" s="4" t="inlineStr">
        <is>
          <t>Reduce</t>
        </is>
      </c>
      <c r="S19" s="4" t="inlineStr">
        <is>
          <t>A-080</t>
        </is>
      </c>
      <c r="T19" s="5" t="inlineStr">
        <is>
          <t>2025-10-15</t>
        </is>
      </c>
      <c r="U19" s="4" t="inlineStr">
        <is>
          <t>Open</t>
        </is>
      </c>
      <c r="V19" s="4" t="inlineStr">
        <is>
          <t>Medium</t>
        </is>
      </c>
      <c r="W19" s="5" t="inlineStr">
        <is>
          <t>2025-08-28</t>
        </is>
      </c>
      <c r="X19" s="5" t="inlineStr">
        <is>
          <t>2025-08-15</t>
        </is>
      </c>
      <c r="Y19" s="4" t="inlineStr">
        <is>
          <t>Renewal playbook (extended) (extended) (extended) (extended) (extended) (extended) (extended) (extended)</t>
        </is>
      </c>
      <c r="Z19" s="4">
        <f>"R-"&amp;TEXT(A19,"0000")</f>
        <v/>
      </c>
      <c r="AA19" s="4">
        <f>IF(X19&lt;&gt;"",TODAY()-X19,"")</f>
        <v/>
      </c>
      <c r="AB19" s="5">
        <f>IF(V19="Fast",TODAY()+30,IF(V19="Medium",TODAY()+60,TODAY()+90))</f>
        <v/>
      </c>
      <c r="AC19" s="4">
        <f>AA19-TODAY()</f>
        <v/>
      </c>
      <c r="AD19" s="4">
        <f>IF(AND(OR(P19="High",P19="Critical"),U19&lt;&gt;"Closed"),"Yes","No")</f>
        <v/>
      </c>
    </row>
    <row r="20">
      <c r="A20" s="4" t="n">
        <v>18</v>
      </c>
      <c r="B20" s="4" t="inlineStr">
        <is>
          <t>Strategic</t>
        </is>
      </c>
      <c r="C20" s="4" t="inlineStr">
        <is>
          <t>Key customer churn (site B) (site B) (site B) (site B) (site B) (site B) (site B) (site B) (site B)</t>
        </is>
      </c>
      <c r="D20" s="4" t="inlineStr">
        <is>
          <t>Weak value proposition</t>
        </is>
      </c>
      <c r="E20" s="4" t="inlineStr">
        <is>
          <t>Competitor offers</t>
        </is>
      </c>
      <c r="F20" s="4" t="inlineStr">
        <is>
          <t>Revenue loss</t>
        </is>
      </c>
      <c r="G20" s="4" t="n">
        <v>3</v>
      </c>
      <c r="H20" s="4" t="n">
        <v>4</v>
      </c>
      <c r="I20" s="4">
        <f>G20*H20</f>
        <v/>
      </c>
      <c r="J20" s="4">
        <f>IF(I20&lt;=Risk_Appetite!$B$3,"Low",IF(I20&lt;=Risk_Appetite!$B$4,"Medium",IF(I20&lt;=Risk_Appetite!$B$5,"High","Critical")))</f>
        <v/>
      </c>
      <c r="K20" s="4" t="inlineStr">
        <is>
          <t>Customer success program</t>
        </is>
      </c>
      <c r="L20" s="4" t="inlineStr">
        <is>
          <t>Moderate</t>
        </is>
      </c>
      <c r="M20" s="4" t="n">
        <v>2</v>
      </c>
      <c r="N20" s="4" t="n">
        <v>3</v>
      </c>
      <c r="O20" s="4">
        <f>M20*N20</f>
        <v/>
      </c>
      <c r="P20" s="4">
        <f>IF(O20&lt;=Risk_Appetite!$B$3,"Low",IF(O20&lt;=Risk_Appetite!$B$4,"Medium",IF(O20&lt;=Risk_Appetite!$B$5,"High","Critical")))</f>
        <v/>
      </c>
      <c r="Q20" s="4" t="inlineStr">
        <is>
          <t>Sales Director</t>
        </is>
      </c>
      <c r="R20" s="4" t="inlineStr">
        <is>
          <t>Reduce</t>
        </is>
      </c>
      <c r="S20" s="4" t="inlineStr">
        <is>
          <t>A-080</t>
        </is>
      </c>
      <c r="T20" s="5" t="inlineStr">
        <is>
          <t>2025-09-10</t>
        </is>
      </c>
      <c r="U20" s="4" t="inlineStr">
        <is>
          <t>In progress</t>
        </is>
      </c>
      <c r="V20" s="4" t="inlineStr">
        <is>
          <t>Fast</t>
        </is>
      </c>
      <c r="W20" s="5" t="inlineStr">
        <is>
          <t>2025-08-28</t>
        </is>
      </c>
      <c r="X20" s="5" t="inlineStr">
        <is>
          <t>2025-08-15</t>
        </is>
      </c>
      <c r="Y20" s="4" t="inlineStr">
        <is>
          <t>Renewal playbook (extended) (extended) (extended) (extended) (extended) (extended) (extended) (extended) (extended)</t>
        </is>
      </c>
      <c r="Z20" s="4">
        <f>"R-"&amp;TEXT(A20,"0000")</f>
        <v/>
      </c>
      <c r="AA20" s="4">
        <f>IF(X20&lt;&gt;"",TODAY()-X20,"")</f>
        <v/>
      </c>
      <c r="AB20" s="5">
        <f>IF(V20="Fast",TODAY()+30,IF(V20="Medium",TODAY()+60,TODAY()+90))</f>
        <v/>
      </c>
      <c r="AC20" s="4">
        <f>AA20-TODAY()</f>
        <v/>
      </c>
      <c r="AD20" s="4">
        <f>IF(AND(OR(P20="High",P20="Critical"),U20&lt;&gt;"Closed"),"Yes","No")</f>
        <v/>
      </c>
    </row>
    <row r="21">
      <c r="A21" s="4" t="n">
        <v>19</v>
      </c>
      <c r="B21" s="4" t="inlineStr">
        <is>
          <t>Strategic</t>
        </is>
      </c>
      <c r="C21" s="4" t="inlineStr">
        <is>
          <t>Key customer churn (site B) (site B) (site B) (site B) (site B) (site B) (site B) (site B) (site B) (site B)</t>
        </is>
      </c>
      <c r="D21" s="4" t="inlineStr">
        <is>
          <t>Weak value proposition</t>
        </is>
      </c>
      <c r="E21" s="4" t="inlineStr">
        <is>
          <t>Competitor offers</t>
        </is>
      </c>
      <c r="F21" s="4" t="inlineStr">
        <is>
          <t>Revenue loss</t>
        </is>
      </c>
      <c r="G21" s="4" t="n">
        <v>3</v>
      </c>
      <c r="H21" s="4" t="n">
        <v>4</v>
      </c>
      <c r="I21" s="4">
        <f>G21*H21</f>
        <v/>
      </c>
      <c r="J21" s="4">
        <f>IF(I21&lt;=Risk_Appetite!$B$3,"Low",IF(I21&lt;=Risk_Appetite!$B$4,"Medium",IF(I21&lt;=Risk_Appetite!$B$5,"High","Critical")))</f>
        <v/>
      </c>
      <c r="K21" s="4" t="inlineStr">
        <is>
          <t>Customer success program</t>
        </is>
      </c>
      <c r="L21" s="4" t="inlineStr">
        <is>
          <t>Moderate</t>
        </is>
      </c>
      <c r="M21" s="4" t="n">
        <v>2</v>
      </c>
      <c r="N21" s="4" t="n">
        <v>3</v>
      </c>
      <c r="O21" s="4">
        <f>M21*N21</f>
        <v/>
      </c>
      <c r="P21" s="4">
        <f>IF(O21&lt;=Risk_Appetite!$B$3,"Low",IF(O21&lt;=Risk_Appetite!$B$4,"Medium",IF(O21&lt;=Risk_Appetite!$B$5,"High","Critical")))</f>
        <v/>
      </c>
      <c r="Q21" s="4" t="inlineStr">
        <is>
          <t>Sales Director</t>
        </is>
      </c>
      <c r="R21" s="4" t="inlineStr">
        <is>
          <t>Reduce</t>
        </is>
      </c>
      <c r="S21" s="4" t="inlineStr">
        <is>
          <t>A-080</t>
        </is>
      </c>
      <c r="T21" s="5" t="inlineStr">
        <is>
          <t>2025-10-15</t>
        </is>
      </c>
      <c r="U21" s="4" t="inlineStr">
        <is>
          <t>Open</t>
        </is>
      </c>
      <c r="V21" s="4" t="inlineStr">
        <is>
          <t>Medium</t>
        </is>
      </c>
      <c r="W21" s="5" t="inlineStr">
        <is>
          <t>2025-08-28</t>
        </is>
      </c>
      <c r="X21" s="5" t="inlineStr">
        <is>
          <t>2025-08-15</t>
        </is>
      </c>
      <c r="Y21" s="4" t="inlineStr">
        <is>
          <t>Renewal playbook (extended) (extended) (extended) (extended) (extended) (extended) (extended) (extended) (extended) (extended)</t>
        </is>
      </c>
      <c r="Z21" s="4">
        <f>"R-"&amp;TEXT(A21,"0000")</f>
        <v/>
      </c>
      <c r="AA21" s="4">
        <f>IF(X21&lt;&gt;"",TODAY()-X21,"")</f>
        <v/>
      </c>
      <c r="AB21" s="5">
        <f>IF(V21="Fast",TODAY()+30,IF(V21="Medium",TODAY()+60,TODAY()+90))</f>
        <v/>
      </c>
      <c r="AC21" s="4">
        <f>AA21-TODAY()</f>
        <v/>
      </c>
      <c r="AD21" s="4">
        <f>IF(AND(OR(P21="High",P21="Critical"),U21&lt;&gt;"Closed"),"Yes","No")</f>
        <v/>
      </c>
    </row>
    <row r="22">
      <c r="A22" s="4" t="n">
        <v>20</v>
      </c>
      <c r="B22" s="4" t="inlineStr">
        <is>
          <t>Strategic</t>
        </is>
      </c>
      <c r="C22" s="4" t="inlineStr">
        <is>
          <t>Key customer churn (site B) (site B) (site B) (site B) (site B) (site B) (site B) (site B) (site B) (site B) (site B)</t>
        </is>
      </c>
      <c r="D22" s="4" t="inlineStr">
        <is>
          <t>Weak value proposition</t>
        </is>
      </c>
      <c r="E22" s="4" t="inlineStr">
        <is>
          <t>Competitor offers</t>
        </is>
      </c>
      <c r="F22" s="4" t="inlineStr">
        <is>
          <t>Revenue loss</t>
        </is>
      </c>
      <c r="G22" s="4" t="n">
        <v>3</v>
      </c>
      <c r="H22" s="4" t="n">
        <v>4</v>
      </c>
      <c r="I22" s="4">
        <f>G22*H22</f>
        <v/>
      </c>
      <c r="J22" s="4">
        <f>IF(I22&lt;=Risk_Appetite!$B$3,"Low",IF(I22&lt;=Risk_Appetite!$B$4,"Medium",IF(I22&lt;=Risk_Appetite!$B$5,"High","Critical")))</f>
        <v/>
      </c>
      <c r="K22" s="4" t="inlineStr">
        <is>
          <t>Customer success program</t>
        </is>
      </c>
      <c r="L22" s="4" t="inlineStr">
        <is>
          <t>Moderate</t>
        </is>
      </c>
      <c r="M22" s="4" t="n">
        <v>2</v>
      </c>
      <c r="N22" s="4" t="n">
        <v>3</v>
      </c>
      <c r="O22" s="4">
        <f>M22*N22</f>
        <v/>
      </c>
      <c r="P22" s="4">
        <f>IF(O22&lt;=Risk_Appetite!$B$3,"Low",IF(O22&lt;=Risk_Appetite!$B$4,"Medium",IF(O22&lt;=Risk_Appetite!$B$5,"High","Critical")))</f>
        <v/>
      </c>
      <c r="Q22" s="4" t="inlineStr">
        <is>
          <t>Sales Director</t>
        </is>
      </c>
      <c r="R22" s="4" t="inlineStr">
        <is>
          <t>Reduce</t>
        </is>
      </c>
      <c r="S22" s="4" t="inlineStr">
        <is>
          <t>A-080</t>
        </is>
      </c>
      <c r="T22" s="5" t="inlineStr">
        <is>
          <t>2025-09-10</t>
        </is>
      </c>
      <c r="U22" s="4" t="inlineStr">
        <is>
          <t>In progress</t>
        </is>
      </c>
      <c r="V22" s="4" t="inlineStr">
        <is>
          <t>Fast</t>
        </is>
      </c>
      <c r="W22" s="5" t="inlineStr">
        <is>
          <t>2025-08-28</t>
        </is>
      </c>
      <c r="X22" s="5" t="inlineStr">
        <is>
          <t>2025-08-15</t>
        </is>
      </c>
      <c r="Y22" s="4" t="inlineStr">
        <is>
          <t>Renewal playbook (extended) (extended) (extended) (extended) (extended) (extended) (extended) (extended) (extended) (extended) (extended)</t>
        </is>
      </c>
      <c r="Z22" s="4">
        <f>"R-"&amp;TEXT(A22,"0000")</f>
        <v/>
      </c>
      <c r="AA22" s="4">
        <f>IF(X22&lt;&gt;"",TODAY()-X22,"")</f>
        <v/>
      </c>
      <c r="AB22" s="5">
        <f>IF(V22="Fast",TODAY()+30,IF(V22="Medium",TODAY()+60,TODAY()+90))</f>
        <v/>
      </c>
      <c r="AC22" s="4">
        <f>AA22-TODAY()</f>
        <v/>
      </c>
      <c r="AD22" s="4">
        <f>IF(AND(OR(P22="High",P22="Critical"),U22&lt;&gt;"Closed"),"Yes","No")</f>
        <v/>
      </c>
    </row>
    <row r="23">
      <c r="A23" s="4" t="n">
        <v>21</v>
      </c>
      <c r="B23" s="4" t="inlineStr">
        <is>
          <t>Strategic</t>
        </is>
      </c>
      <c r="C23" s="4" t="inlineStr">
        <is>
          <t>Key customer churn (site B) (site B) (site B) (site B) (site B) (site B) (site B) (site B) (site B) (site B) (site B) (site B)</t>
        </is>
      </c>
      <c r="D23" s="4" t="inlineStr">
        <is>
          <t>Weak value proposition</t>
        </is>
      </c>
      <c r="E23" s="4" t="inlineStr">
        <is>
          <t>Competitor offers</t>
        </is>
      </c>
      <c r="F23" s="4" t="inlineStr">
        <is>
          <t>Revenue loss</t>
        </is>
      </c>
      <c r="G23" s="4" t="n">
        <v>3</v>
      </c>
      <c r="H23" s="4" t="n">
        <v>4</v>
      </c>
      <c r="I23" s="4">
        <f>G23*H23</f>
        <v/>
      </c>
      <c r="J23" s="4">
        <f>IF(I23&lt;=Risk_Appetite!$B$3,"Low",IF(I23&lt;=Risk_Appetite!$B$4,"Medium",IF(I23&lt;=Risk_Appetite!$B$5,"High","Critical")))</f>
        <v/>
      </c>
      <c r="K23" s="4" t="inlineStr">
        <is>
          <t>Customer success program</t>
        </is>
      </c>
      <c r="L23" s="4" t="inlineStr">
        <is>
          <t>Moderate</t>
        </is>
      </c>
      <c r="M23" s="4" t="n">
        <v>2</v>
      </c>
      <c r="N23" s="4" t="n">
        <v>3</v>
      </c>
      <c r="O23" s="4">
        <f>M23*N23</f>
        <v/>
      </c>
      <c r="P23" s="4">
        <f>IF(O23&lt;=Risk_Appetite!$B$3,"Low",IF(O23&lt;=Risk_Appetite!$B$4,"Medium",IF(O23&lt;=Risk_Appetite!$B$5,"High","Critical")))</f>
        <v/>
      </c>
      <c r="Q23" s="4" t="inlineStr">
        <is>
          <t>Sales Director</t>
        </is>
      </c>
      <c r="R23" s="4" t="inlineStr">
        <is>
          <t>Reduce</t>
        </is>
      </c>
      <c r="S23" s="4" t="inlineStr">
        <is>
          <t>A-080</t>
        </is>
      </c>
      <c r="T23" s="5" t="inlineStr">
        <is>
          <t>2025-10-15</t>
        </is>
      </c>
      <c r="U23" s="4" t="inlineStr">
        <is>
          <t>Open</t>
        </is>
      </c>
      <c r="V23" s="4" t="inlineStr">
        <is>
          <t>Medium</t>
        </is>
      </c>
      <c r="W23" s="5" t="inlineStr">
        <is>
          <t>2025-08-28</t>
        </is>
      </c>
      <c r="X23" s="5" t="inlineStr">
        <is>
          <t>2025-08-15</t>
        </is>
      </c>
      <c r="Y23" s="4" t="inlineStr">
        <is>
          <t>Renewal playbook (extended) (extended) (extended) (extended) (extended) (extended) (extended) (extended) (extended) (extended) (extended) (extended)</t>
        </is>
      </c>
      <c r="Z23" s="4">
        <f>"R-"&amp;TEXT(A23,"0000")</f>
        <v/>
      </c>
      <c r="AA23" s="4">
        <f>IF(X23&lt;&gt;"",TODAY()-X23,"")</f>
        <v/>
      </c>
      <c r="AB23" s="5">
        <f>IF(V23="Fast",TODAY()+30,IF(V23="Medium",TODAY()+60,TODAY()+90))</f>
        <v/>
      </c>
      <c r="AC23" s="4">
        <f>AA23-TODAY()</f>
        <v/>
      </c>
      <c r="AD23" s="4">
        <f>IF(AND(OR(P23="High",P23="Critical"),U23&lt;&gt;"Closed"),"Yes","No")</f>
        <v/>
      </c>
    </row>
    <row r="24">
      <c r="A24" s="4" t="n">
        <v>22</v>
      </c>
      <c r="B24" s="4" t="inlineStr">
        <is>
          <t>Strategic</t>
        </is>
      </c>
      <c r="C24" s="4" t="inlineStr">
        <is>
          <t>Key customer churn (site B) (site B) (site B) (site B) (site B) (site B) (site B) (site B) (site B) (site B) (site B) (site B) (site B)</t>
        </is>
      </c>
      <c r="D24" s="4" t="inlineStr">
        <is>
          <t>Weak value proposition</t>
        </is>
      </c>
      <c r="E24" s="4" t="inlineStr">
        <is>
          <t>Competitor offers</t>
        </is>
      </c>
      <c r="F24" s="4" t="inlineStr">
        <is>
          <t>Revenue loss</t>
        </is>
      </c>
      <c r="G24" s="4" t="n">
        <v>3</v>
      </c>
      <c r="H24" s="4" t="n">
        <v>4</v>
      </c>
      <c r="I24" s="4">
        <f>G24*H24</f>
        <v/>
      </c>
      <c r="J24" s="4">
        <f>IF(I24&lt;=Risk_Appetite!$B$3,"Low",IF(I24&lt;=Risk_Appetite!$B$4,"Medium",IF(I24&lt;=Risk_Appetite!$B$5,"High","Critical")))</f>
        <v/>
      </c>
      <c r="K24" s="4" t="inlineStr">
        <is>
          <t>Customer success program</t>
        </is>
      </c>
      <c r="L24" s="4" t="inlineStr">
        <is>
          <t>Moderate</t>
        </is>
      </c>
      <c r="M24" s="4" t="n">
        <v>2</v>
      </c>
      <c r="N24" s="4" t="n">
        <v>3</v>
      </c>
      <c r="O24" s="4">
        <f>M24*N24</f>
        <v/>
      </c>
      <c r="P24" s="4">
        <f>IF(O24&lt;=Risk_Appetite!$B$3,"Low",IF(O24&lt;=Risk_Appetite!$B$4,"Medium",IF(O24&lt;=Risk_Appetite!$B$5,"High","Critical")))</f>
        <v/>
      </c>
      <c r="Q24" s="4" t="inlineStr">
        <is>
          <t>Sales Director</t>
        </is>
      </c>
      <c r="R24" s="4" t="inlineStr">
        <is>
          <t>Reduce</t>
        </is>
      </c>
      <c r="S24" s="4" t="inlineStr">
        <is>
          <t>A-080</t>
        </is>
      </c>
      <c r="T24" s="5" t="inlineStr">
        <is>
          <t>2025-09-10</t>
        </is>
      </c>
      <c r="U24" s="4" t="inlineStr">
        <is>
          <t>In progress</t>
        </is>
      </c>
      <c r="V24" s="4" t="inlineStr">
        <is>
          <t>Fast</t>
        </is>
      </c>
      <c r="W24" s="5" t="inlineStr">
        <is>
          <t>2025-08-28</t>
        </is>
      </c>
      <c r="X24" s="5" t="inlineStr">
        <is>
          <t>2025-08-15</t>
        </is>
      </c>
      <c r="Y24" s="4" t="inlineStr">
        <is>
          <t>Renewal playbook (extended) (extended) (extended) (extended) (extended) (extended) (extended) (extended) (extended) (extended) (extended) (extended) (extended)</t>
        </is>
      </c>
      <c r="Z24" s="4">
        <f>"R-"&amp;TEXT(A24,"0000")</f>
        <v/>
      </c>
      <c r="AA24" s="4">
        <f>IF(X24&lt;&gt;"",TODAY()-X24,"")</f>
        <v/>
      </c>
      <c r="AB24" s="5">
        <f>IF(V24="Fast",TODAY()+30,IF(V24="Medium",TODAY()+60,TODAY()+90))</f>
        <v/>
      </c>
      <c r="AC24" s="4">
        <f>AA24-TODAY()</f>
        <v/>
      </c>
      <c r="AD24" s="4">
        <f>IF(AND(OR(P24="High",P24="Critical"),U24&lt;&gt;"Closed"),"Yes","No")</f>
        <v/>
      </c>
    </row>
    <row r="25">
      <c r="A25" s="4" t="n">
        <v>23</v>
      </c>
      <c r="B25" s="4" t="inlineStr">
        <is>
          <t>Strategic</t>
        </is>
      </c>
      <c r="C25" s="4" t="inlineStr">
        <is>
          <t>Key customer churn (site B) (site B) (site B) (site B) (site B) (site B) (site B) (site B) (site B) (site B) (site B) (site B) (site B) (site B)</t>
        </is>
      </c>
      <c r="D25" s="4" t="inlineStr">
        <is>
          <t>Weak value proposition</t>
        </is>
      </c>
      <c r="E25" s="4" t="inlineStr">
        <is>
          <t>Competitor offers</t>
        </is>
      </c>
      <c r="F25" s="4" t="inlineStr">
        <is>
          <t>Revenue loss</t>
        </is>
      </c>
      <c r="G25" s="4" t="n">
        <v>3</v>
      </c>
      <c r="H25" s="4" t="n">
        <v>4</v>
      </c>
      <c r="I25" s="4">
        <f>G25*H25</f>
        <v/>
      </c>
      <c r="J25" s="4">
        <f>IF(I25&lt;=Risk_Appetite!$B$3,"Low",IF(I25&lt;=Risk_Appetite!$B$4,"Medium",IF(I25&lt;=Risk_Appetite!$B$5,"High","Critical")))</f>
        <v/>
      </c>
      <c r="K25" s="4" t="inlineStr">
        <is>
          <t>Customer success program</t>
        </is>
      </c>
      <c r="L25" s="4" t="inlineStr">
        <is>
          <t>Moderate</t>
        </is>
      </c>
      <c r="M25" s="4" t="n">
        <v>2</v>
      </c>
      <c r="N25" s="4" t="n">
        <v>3</v>
      </c>
      <c r="O25" s="4">
        <f>M25*N25</f>
        <v/>
      </c>
      <c r="P25" s="4">
        <f>IF(O25&lt;=Risk_Appetite!$B$3,"Low",IF(O25&lt;=Risk_Appetite!$B$4,"Medium",IF(O25&lt;=Risk_Appetite!$B$5,"High","Critical")))</f>
        <v/>
      </c>
      <c r="Q25" s="4" t="inlineStr">
        <is>
          <t>Sales Director</t>
        </is>
      </c>
      <c r="R25" s="4" t="inlineStr">
        <is>
          <t>Reduce</t>
        </is>
      </c>
      <c r="S25" s="4" t="inlineStr">
        <is>
          <t>A-080</t>
        </is>
      </c>
      <c r="T25" s="5" t="inlineStr">
        <is>
          <t>2025-10-15</t>
        </is>
      </c>
      <c r="U25" s="4" t="inlineStr">
        <is>
          <t>Open</t>
        </is>
      </c>
      <c r="V25" s="4" t="inlineStr">
        <is>
          <t>Medium</t>
        </is>
      </c>
      <c r="W25" s="5" t="inlineStr">
        <is>
          <t>2025-08-28</t>
        </is>
      </c>
      <c r="X25" s="5" t="inlineStr">
        <is>
          <t>2025-08-15</t>
        </is>
      </c>
      <c r="Y25" s="4" t="inlineStr">
        <is>
          <t>Renewal playbook (extended) (extended) (extended) (extended) (extended) (extended) (extended) (extended) (extended) (extended) (extended) (extended) (extended) (extended)</t>
        </is>
      </c>
      <c r="Z25" s="4">
        <f>"R-"&amp;TEXT(A25,"0000")</f>
        <v/>
      </c>
      <c r="AA25" s="4">
        <f>IF(X25&lt;&gt;"",TODAY()-X25,"")</f>
        <v/>
      </c>
      <c r="AB25" s="5">
        <f>IF(V25="Fast",TODAY()+30,IF(V25="Medium",TODAY()+60,TODAY()+90))</f>
        <v/>
      </c>
      <c r="AC25" s="4">
        <f>AA25-TODAY()</f>
        <v/>
      </c>
      <c r="AD25" s="4">
        <f>IF(AND(OR(P25="High",P25="Critical"),U25&lt;&gt;"Closed"),"Yes","No")</f>
        <v/>
      </c>
    </row>
    <row r="26">
      <c r="A26" s="4" t="n">
        <v>24</v>
      </c>
      <c r="B26" s="4" t="inlineStr">
        <is>
          <t>Strategic</t>
        </is>
      </c>
      <c r="C26" s="4" t="inlineStr">
        <is>
          <t>Key customer churn (site B) (site B) (site B) (site B) (site B) (site B) (site B) (site B) (site B) (site B) (site B) (site B) (site B) (site B) (site B)</t>
        </is>
      </c>
      <c r="D26" s="4" t="inlineStr">
        <is>
          <t>Weak value proposition</t>
        </is>
      </c>
      <c r="E26" s="4" t="inlineStr">
        <is>
          <t>Competitor offers</t>
        </is>
      </c>
      <c r="F26" s="4" t="inlineStr">
        <is>
          <t>Revenue loss</t>
        </is>
      </c>
      <c r="G26" s="4" t="n">
        <v>3</v>
      </c>
      <c r="H26" s="4" t="n">
        <v>4</v>
      </c>
      <c r="I26" s="4">
        <f>G26*H26</f>
        <v/>
      </c>
      <c r="J26" s="4">
        <f>IF(I26&lt;=Risk_Appetite!$B$3,"Low",IF(I26&lt;=Risk_Appetite!$B$4,"Medium",IF(I26&lt;=Risk_Appetite!$B$5,"High","Critical")))</f>
        <v/>
      </c>
      <c r="K26" s="4" t="inlineStr">
        <is>
          <t>Customer success program</t>
        </is>
      </c>
      <c r="L26" s="4" t="inlineStr">
        <is>
          <t>Moderate</t>
        </is>
      </c>
      <c r="M26" s="4" t="n">
        <v>2</v>
      </c>
      <c r="N26" s="4" t="n">
        <v>3</v>
      </c>
      <c r="O26" s="4">
        <f>M26*N26</f>
        <v/>
      </c>
      <c r="P26" s="4">
        <f>IF(O26&lt;=Risk_Appetite!$B$3,"Low",IF(O26&lt;=Risk_Appetite!$B$4,"Medium",IF(O26&lt;=Risk_Appetite!$B$5,"High","Critical")))</f>
        <v/>
      </c>
      <c r="Q26" s="4" t="inlineStr">
        <is>
          <t>Sales Director</t>
        </is>
      </c>
      <c r="R26" s="4" t="inlineStr">
        <is>
          <t>Reduce</t>
        </is>
      </c>
      <c r="S26" s="4" t="inlineStr">
        <is>
          <t>A-080</t>
        </is>
      </c>
      <c r="T26" s="5" t="inlineStr">
        <is>
          <t>2025-09-10</t>
        </is>
      </c>
      <c r="U26" s="4" t="inlineStr">
        <is>
          <t>In progress</t>
        </is>
      </c>
      <c r="V26" s="4" t="inlineStr">
        <is>
          <t>Fast</t>
        </is>
      </c>
      <c r="W26" s="5" t="inlineStr">
        <is>
          <t>2025-08-28</t>
        </is>
      </c>
      <c r="X26" s="5" t="inlineStr">
        <is>
          <t>2025-08-15</t>
        </is>
      </c>
      <c r="Y26" s="4" t="inlineStr">
        <is>
          <t>Renewal playbook (extended) (extended) (extended) (extended) (extended) (extended) (extended) (extended) (extended) (extended) (extended) (extended) (extended) (extended) (extended)</t>
        </is>
      </c>
      <c r="Z26" s="4">
        <f>"R-"&amp;TEXT(A26,"0000")</f>
        <v/>
      </c>
      <c r="AA26" s="4">
        <f>IF(X26&lt;&gt;"",TODAY()-X26,"")</f>
        <v/>
      </c>
      <c r="AB26" s="5">
        <f>IF(V26="Fast",TODAY()+30,IF(V26="Medium",TODAY()+60,TODAY()+90))</f>
        <v/>
      </c>
      <c r="AC26" s="4">
        <f>AA26-TODAY()</f>
        <v/>
      </c>
      <c r="AD26" s="4">
        <f>IF(AND(OR(P26="High",P26="Critical"),U26&lt;&gt;"Closed"),"Yes","No")</f>
        <v/>
      </c>
    </row>
    <row r="27">
      <c r="A27" s="4" t="n">
        <v>25</v>
      </c>
      <c r="B27" s="4" t="inlineStr">
        <is>
          <t>Strategic</t>
        </is>
      </c>
      <c r="C27" s="4" t="inlineStr">
        <is>
          <t>Key customer churn (site B) (site B) (site B) (site B) (site B) (site B) (site B) (site B) (site B) (site B) (site B) (site B) (site B) (site B) (site B) (site B)</t>
        </is>
      </c>
      <c r="D27" s="4" t="inlineStr">
        <is>
          <t>Weak value proposition</t>
        </is>
      </c>
      <c r="E27" s="4" t="inlineStr">
        <is>
          <t>Competitor offers</t>
        </is>
      </c>
      <c r="F27" s="4" t="inlineStr">
        <is>
          <t>Revenue loss</t>
        </is>
      </c>
      <c r="G27" s="4" t="n">
        <v>3</v>
      </c>
      <c r="H27" s="4" t="n">
        <v>4</v>
      </c>
      <c r="I27" s="4">
        <f>G27*H27</f>
        <v/>
      </c>
      <c r="J27" s="4">
        <f>IF(I27&lt;=Risk_Appetite!$B$3,"Low",IF(I27&lt;=Risk_Appetite!$B$4,"Medium",IF(I27&lt;=Risk_Appetite!$B$5,"High","Critical")))</f>
        <v/>
      </c>
      <c r="K27" s="4" t="inlineStr">
        <is>
          <t>Customer success program</t>
        </is>
      </c>
      <c r="L27" s="4" t="inlineStr">
        <is>
          <t>Moderate</t>
        </is>
      </c>
      <c r="M27" s="4" t="n">
        <v>2</v>
      </c>
      <c r="N27" s="4" t="n">
        <v>3</v>
      </c>
      <c r="O27" s="4">
        <f>M27*N27</f>
        <v/>
      </c>
      <c r="P27" s="4">
        <f>IF(O27&lt;=Risk_Appetite!$B$3,"Low",IF(O27&lt;=Risk_Appetite!$B$4,"Medium",IF(O27&lt;=Risk_Appetite!$B$5,"High","Critical")))</f>
        <v/>
      </c>
      <c r="Q27" s="4" t="inlineStr">
        <is>
          <t>Sales Director</t>
        </is>
      </c>
      <c r="R27" s="4" t="inlineStr">
        <is>
          <t>Reduce</t>
        </is>
      </c>
      <c r="S27" s="4" t="inlineStr">
        <is>
          <t>A-080</t>
        </is>
      </c>
      <c r="T27" s="5" t="inlineStr">
        <is>
          <t>2025-10-15</t>
        </is>
      </c>
      <c r="U27" s="4" t="inlineStr">
        <is>
          <t>Open</t>
        </is>
      </c>
      <c r="V27" s="4" t="inlineStr">
        <is>
          <t>Medium</t>
        </is>
      </c>
      <c r="W27" s="5" t="inlineStr">
        <is>
          <t>2025-08-28</t>
        </is>
      </c>
      <c r="X27" s="5" t="inlineStr">
        <is>
          <t>2025-08-15</t>
        </is>
      </c>
      <c r="Y27" s="4" t="inlineStr">
        <is>
          <t>Renewal playbook (extended) (extended) (extended) (extended) (extended) (extended) (extended) (extended) (extended) (extended) (extended) (extended) (extended) (extended) (extended) (extended)</t>
        </is>
      </c>
      <c r="Z27" s="4">
        <f>"R-"&amp;TEXT(A27,"0000")</f>
        <v/>
      </c>
      <c r="AA27" s="4">
        <f>IF(X27&lt;&gt;"",TODAY()-X27,"")</f>
        <v/>
      </c>
      <c r="AB27" s="5">
        <f>IF(V27="Fast",TODAY()+30,IF(V27="Medium",TODAY()+60,TODAY()+90))</f>
        <v/>
      </c>
      <c r="AC27" s="4">
        <f>AA27-TODAY()</f>
        <v/>
      </c>
      <c r="AD27" s="4">
        <f>IF(AND(OR(P27="High",P27="Critical"),U27&lt;&gt;"Closed"),"Yes","No")</f>
        <v/>
      </c>
    </row>
    <row r="28">
      <c r="A28" s="4" t="n">
        <v>26</v>
      </c>
      <c r="B28" s="4" t="inlineStr">
        <is>
          <t>Strategic</t>
        </is>
      </c>
      <c r="C28" s="4" t="inlineStr">
        <is>
          <t>Key customer churn (site B) (site B) (site B) (site B) (site B) (site B) (site B) (site B) (site B) (site B) (site B) (site B) (site B) (site B) (site B) (site B) (site B)</t>
        </is>
      </c>
      <c r="D28" s="4" t="inlineStr">
        <is>
          <t>Weak value proposition</t>
        </is>
      </c>
      <c r="E28" s="4" t="inlineStr">
        <is>
          <t>Competitor offers</t>
        </is>
      </c>
      <c r="F28" s="4" t="inlineStr">
        <is>
          <t>Revenue loss</t>
        </is>
      </c>
      <c r="G28" s="4" t="n">
        <v>3</v>
      </c>
      <c r="H28" s="4" t="n">
        <v>4</v>
      </c>
      <c r="I28" s="4">
        <f>G28*H28</f>
        <v/>
      </c>
      <c r="J28" s="4">
        <f>IF(I28&lt;=Risk_Appetite!$B$3,"Low",IF(I28&lt;=Risk_Appetite!$B$4,"Medium",IF(I28&lt;=Risk_Appetite!$B$5,"High","Critical")))</f>
        <v/>
      </c>
      <c r="K28" s="4" t="inlineStr">
        <is>
          <t>Customer success program</t>
        </is>
      </c>
      <c r="L28" s="4" t="inlineStr">
        <is>
          <t>Moderate</t>
        </is>
      </c>
      <c r="M28" s="4" t="n">
        <v>2</v>
      </c>
      <c r="N28" s="4" t="n">
        <v>3</v>
      </c>
      <c r="O28" s="4">
        <f>M28*N28</f>
        <v/>
      </c>
      <c r="P28" s="4">
        <f>IF(O28&lt;=Risk_Appetite!$B$3,"Low",IF(O28&lt;=Risk_Appetite!$B$4,"Medium",IF(O28&lt;=Risk_Appetite!$B$5,"High","Critical")))</f>
        <v/>
      </c>
      <c r="Q28" s="4" t="inlineStr">
        <is>
          <t>Sales Director</t>
        </is>
      </c>
      <c r="R28" s="4" t="inlineStr">
        <is>
          <t>Reduce</t>
        </is>
      </c>
      <c r="S28" s="4" t="inlineStr">
        <is>
          <t>A-080</t>
        </is>
      </c>
      <c r="T28" s="5" t="inlineStr">
        <is>
          <t>2025-09-10</t>
        </is>
      </c>
      <c r="U28" s="4" t="inlineStr">
        <is>
          <t>In progress</t>
        </is>
      </c>
      <c r="V28" s="4" t="inlineStr">
        <is>
          <t>Fast</t>
        </is>
      </c>
      <c r="W28" s="5" t="inlineStr">
        <is>
          <t>2025-08-28</t>
        </is>
      </c>
      <c r="X28" s="5" t="inlineStr">
        <is>
          <t>2025-08-15</t>
        </is>
      </c>
      <c r="Y28" s="4" t="inlineStr">
        <is>
          <t>Renewal playbook (extended) (extended) (extended) (extended) (extended) (extended) (extended) (extended) (extended) (extended) (extended) (extended) (extended) (extended) (extended) (extended) (extended)</t>
        </is>
      </c>
      <c r="Z28" s="4">
        <f>"R-"&amp;TEXT(A28,"0000")</f>
        <v/>
      </c>
      <c r="AA28" s="4">
        <f>IF(X28&lt;&gt;"",TODAY()-X28,"")</f>
        <v/>
      </c>
      <c r="AB28" s="5">
        <f>IF(V28="Fast",TODAY()+30,IF(V28="Medium",TODAY()+60,TODAY()+90))</f>
        <v/>
      </c>
      <c r="AC28" s="4">
        <f>AA28-TODAY()</f>
        <v/>
      </c>
      <c r="AD28" s="4">
        <f>IF(AND(OR(P28="High",P28="Critical"),U28&lt;&gt;"Closed"),"Yes","No")</f>
        <v/>
      </c>
    </row>
    <row r="29">
      <c r="A29" s="4" t="n">
        <v>27</v>
      </c>
      <c r="B29" s="4" t="inlineStr">
        <is>
          <t>Strategic</t>
        </is>
      </c>
      <c r="C29" s="4" t="inlineStr">
        <is>
          <t>Key customer churn (site B) (site B) (site B) (site B) (site B) (site B) (site B) (site B) (site B) (site B) (site B) (site B) (site B) (site B) (site B) (site B) (site B) (site B)</t>
        </is>
      </c>
      <c r="D29" s="4" t="inlineStr">
        <is>
          <t>Weak value proposition</t>
        </is>
      </c>
      <c r="E29" s="4" t="inlineStr">
        <is>
          <t>Competitor offers</t>
        </is>
      </c>
      <c r="F29" s="4" t="inlineStr">
        <is>
          <t>Revenue loss</t>
        </is>
      </c>
      <c r="G29" s="4" t="n">
        <v>3</v>
      </c>
      <c r="H29" s="4" t="n">
        <v>4</v>
      </c>
      <c r="I29" s="4">
        <f>G29*H29</f>
        <v/>
      </c>
      <c r="J29" s="4">
        <f>IF(I29&lt;=Risk_Appetite!$B$3,"Low",IF(I29&lt;=Risk_Appetite!$B$4,"Medium",IF(I29&lt;=Risk_Appetite!$B$5,"High","Critical")))</f>
        <v/>
      </c>
      <c r="K29" s="4" t="inlineStr">
        <is>
          <t>Customer success program</t>
        </is>
      </c>
      <c r="L29" s="4" t="inlineStr">
        <is>
          <t>Moderate</t>
        </is>
      </c>
      <c r="M29" s="4" t="n">
        <v>2</v>
      </c>
      <c r="N29" s="4" t="n">
        <v>3</v>
      </c>
      <c r="O29" s="4">
        <f>M29*N29</f>
        <v/>
      </c>
      <c r="P29" s="4">
        <f>IF(O29&lt;=Risk_Appetite!$B$3,"Low",IF(O29&lt;=Risk_Appetite!$B$4,"Medium",IF(O29&lt;=Risk_Appetite!$B$5,"High","Critical")))</f>
        <v/>
      </c>
      <c r="Q29" s="4" t="inlineStr">
        <is>
          <t>Sales Director</t>
        </is>
      </c>
      <c r="R29" s="4" t="inlineStr">
        <is>
          <t>Reduce</t>
        </is>
      </c>
      <c r="S29" s="4" t="inlineStr">
        <is>
          <t>A-080</t>
        </is>
      </c>
      <c r="T29" s="5" t="inlineStr">
        <is>
          <t>2025-10-15</t>
        </is>
      </c>
      <c r="U29" s="4" t="inlineStr">
        <is>
          <t>Open</t>
        </is>
      </c>
      <c r="V29" s="4" t="inlineStr">
        <is>
          <t>Medium</t>
        </is>
      </c>
      <c r="W29" s="5" t="inlineStr">
        <is>
          <t>2025-08-28</t>
        </is>
      </c>
      <c r="X29" s="5" t="inlineStr">
        <is>
          <t>2025-08-15</t>
        </is>
      </c>
      <c r="Y29" s="4" t="inlineStr">
        <is>
          <t>Renewal playbook (extended) (extended) (extended) (extended) (extended) (extended) (extended) (extended) (extended) (extended) (extended) (extended) (extended) (extended) (extended) (extended) (extended) (extended)</t>
        </is>
      </c>
      <c r="Z29" s="4">
        <f>"R-"&amp;TEXT(A29,"0000")</f>
        <v/>
      </c>
      <c r="AA29" s="4">
        <f>IF(X29&lt;&gt;"",TODAY()-X29,"")</f>
        <v/>
      </c>
      <c r="AB29" s="5">
        <f>IF(V29="Fast",TODAY()+30,IF(V29="Medium",TODAY()+60,TODAY()+90))</f>
        <v/>
      </c>
      <c r="AC29" s="4">
        <f>AA29-TODAY()</f>
        <v/>
      </c>
      <c r="AD29" s="4">
        <f>IF(AND(OR(P29="High",P29="Critical"),U29&lt;&gt;"Closed"),"Yes","No")</f>
        <v/>
      </c>
    </row>
    <row r="30">
      <c r="A30" s="4" t="n">
        <v>28</v>
      </c>
      <c r="B30" s="4" t="inlineStr">
        <is>
          <t>Strategic</t>
        </is>
      </c>
      <c r="C30" s="4" t="inlineStr">
        <is>
          <t>Key customer churn (site B) (site B) (site B) (site B) (site B) (site B) (site B) (site B) (site B) (site B) (site B) (site B) (site B) (site B) (site B) (site B) (site B) (site B) (site B)</t>
        </is>
      </c>
      <c r="D30" s="4" t="inlineStr">
        <is>
          <t>Weak value proposition</t>
        </is>
      </c>
      <c r="E30" s="4" t="inlineStr">
        <is>
          <t>Competitor offers</t>
        </is>
      </c>
      <c r="F30" s="4" t="inlineStr">
        <is>
          <t>Revenue loss</t>
        </is>
      </c>
      <c r="G30" s="4" t="n">
        <v>3</v>
      </c>
      <c r="H30" s="4" t="n">
        <v>4</v>
      </c>
      <c r="I30" s="4">
        <f>G30*H30</f>
        <v/>
      </c>
      <c r="J30" s="4">
        <f>IF(I30&lt;=Risk_Appetite!$B$3,"Low",IF(I30&lt;=Risk_Appetite!$B$4,"Medium",IF(I30&lt;=Risk_Appetite!$B$5,"High","Critical")))</f>
        <v/>
      </c>
      <c r="K30" s="4" t="inlineStr">
        <is>
          <t>Customer success program</t>
        </is>
      </c>
      <c r="L30" s="4" t="inlineStr">
        <is>
          <t>Moderate</t>
        </is>
      </c>
      <c r="M30" s="4" t="n">
        <v>2</v>
      </c>
      <c r="N30" s="4" t="n">
        <v>3</v>
      </c>
      <c r="O30" s="4">
        <f>M30*N30</f>
        <v/>
      </c>
      <c r="P30" s="4">
        <f>IF(O30&lt;=Risk_Appetite!$B$3,"Low",IF(O30&lt;=Risk_Appetite!$B$4,"Medium",IF(O30&lt;=Risk_Appetite!$B$5,"High","Critical")))</f>
        <v/>
      </c>
      <c r="Q30" s="4" t="inlineStr">
        <is>
          <t>Sales Director</t>
        </is>
      </c>
      <c r="R30" s="4" t="inlineStr">
        <is>
          <t>Reduce</t>
        </is>
      </c>
      <c r="S30" s="4" t="inlineStr">
        <is>
          <t>A-080</t>
        </is>
      </c>
      <c r="T30" s="5" t="inlineStr">
        <is>
          <t>2025-09-10</t>
        </is>
      </c>
      <c r="U30" s="4" t="inlineStr">
        <is>
          <t>In progress</t>
        </is>
      </c>
      <c r="V30" s="4" t="inlineStr">
        <is>
          <t>Fast</t>
        </is>
      </c>
      <c r="W30" s="5" t="inlineStr">
        <is>
          <t>2025-08-28</t>
        </is>
      </c>
      <c r="X30" s="5" t="inlineStr">
        <is>
          <t>2025-08-15</t>
        </is>
      </c>
      <c r="Y30" s="4" t="inlineStr">
        <is>
          <t>Renewal playbook (extended) (extended) (extended) (extended) (extended) (extended) (extended) (extended) (extended) (extended) (extended) (extended) (extended) (extended) (extended) (extended) (extended) (extended) (extended)</t>
        </is>
      </c>
      <c r="Z30" s="4">
        <f>"R-"&amp;TEXT(A30,"0000")</f>
        <v/>
      </c>
      <c r="AA30" s="4">
        <f>IF(X30&lt;&gt;"",TODAY()-X30,"")</f>
        <v/>
      </c>
      <c r="AB30" s="5">
        <f>IF(V30="Fast",TODAY()+30,IF(V30="Medium",TODAY()+60,TODAY()+90))</f>
        <v/>
      </c>
      <c r="AC30" s="4">
        <f>AA30-TODAY()</f>
        <v/>
      </c>
      <c r="AD30" s="4">
        <f>IF(AND(OR(P30="High",P30="Critical"),U30&lt;&gt;"Closed"),"Yes","No")</f>
        <v/>
      </c>
    </row>
    <row r="31">
      <c r="A31" s="4" t="n">
        <v>29</v>
      </c>
      <c r="B31" s="4" t="inlineStr">
        <is>
          <t>Strategic</t>
        </is>
      </c>
      <c r="C31" s="4" t="inlineStr">
        <is>
          <t>Key customer churn (site B) (site B) (site B) (site B) (site B) (site B) (site B) (site B) (site B) (site B) (site B) (site B) (site B) (site B) (site B) (site B) (site B) (site B) (site B) (site B)</t>
        </is>
      </c>
      <c r="D31" s="4" t="inlineStr">
        <is>
          <t>Weak value proposition</t>
        </is>
      </c>
      <c r="E31" s="4" t="inlineStr">
        <is>
          <t>Competitor offers</t>
        </is>
      </c>
      <c r="F31" s="4" t="inlineStr">
        <is>
          <t>Revenue loss</t>
        </is>
      </c>
      <c r="G31" s="4" t="n">
        <v>3</v>
      </c>
      <c r="H31" s="4" t="n">
        <v>4</v>
      </c>
      <c r="I31" s="4">
        <f>G31*H31</f>
        <v/>
      </c>
      <c r="J31" s="4">
        <f>IF(I31&lt;=Risk_Appetite!$B$3,"Low",IF(I31&lt;=Risk_Appetite!$B$4,"Medium",IF(I31&lt;=Risk_Appetite!$B$5,"High","Critical")))</f>
        <v/>
      </c>
      <c r="K31" s="4" t="inlineStr">
        <is>
          <t>Customer success program</t>
        </is>
      </c>
      <c r="L31" s="4" t="inlineStr">
        <is>
          <t>Moderate</t>
        </is>
      </c>
      <c r="M31" s="4" t="n">
        <v>2</v>
      </c>
      <c r="N31" s="4" t="n">
        <v>3</v>
      </c>
      <c r="O31" s="4">
        <f>M31*N31</f>
        <v/>
      </c>
      <c r="P31" s="4">
        <f>IF(O31&lt;=Risk_Appetite!$B$3,"Low",IF(O31&lt;=Risk_Appetite!$B$4,"Medium",IF(O31&lt;=Risk_Appetite!$B$5,"High","Critical")))</f>
        <v/>
      </c>
      <c r="Q31" s="4" t="inlineStr">
        <is>
          <t>Sales Director</t>
        </is>
      </c>
      <c r="R31" s="4" t="inlineStr">
        <is>
          <t>Reduce</t>
        </is>
      </c>
      <c r="S31" s="4" t="inlineStr">
        <is>
          <t>A-080</t>
        </is>
      </c>
      <c r="T31" s="5" t="inlineStr">
        <is>
          <t>2025-10-15</t>
        </is>
      </c>
      <c r="U31" s="4" t="inlineStr">
        <is>
          <t>Open</t>
        </is>
      </c>
      <c r="V31" s="4" t="inlineStr">
        <is>
          <t>Medium</t>
        </is>
      </c>
      <c r="W31" s="5" t="inlineStr">
        <is>
          <t>2025-08-28</t>
        </is>
      </c>
      <c r="X31" s="5" t="inlineStr">
        <is>
          <t>2025-08-15</t>
        </is>
      </c>
      <c r="Y31" s="4" t="inlineStr">
        <is>
          <t>Renewal playbook (extended) (extended) (extended) (extended) (extended) (extended) (extended) (extended) (extended) (extended) (extended) (extended) (extended) (extended) (extended) (extended) (extended) (extended) (extended) (extended)</t>
        </is>
      </c>
      <c r="Z31" s="4">
        <f>"R-"&amp;TEXT(A31,"0000")</f>
        <v/>
      </c>
      <c r="AA31" s="4">
        <f>IF(X31&lt;&gt;"",TODAY()-X31,"")</f>
        <v/>
      </c>
      <c r="AB31" s="5">
        <f>IF(V31="Fast",TODAY()+30,IF(V31="Medium",TODAY()+60,TODAY()+90))</f>
        <v/>
      </c>
      <c r="AC31" s="4">
        <f>AA31-TODAY()</f>
        <v/>
      </c>
      <c r="AD31" s="4">
        <f>IF(AND(OR(P31="High",P31="Critical"),U31&lt;&gt;"Closed"),"Yes","No")</f>
        <v/>
      </c>
    </row>
    <row r="32">
      <c r="A32" s="4" t="n">
        <v>30</v>
      </c>
      <c r="B32" s="4" t="inlineStr">
        <is>
          <t>Strategic</t>
        </is>
      </c>
      <c r="C32" s="4" t="inlineStr">
        <is>
          <t>Key customer churn (site B) (site B) (site B) (site B) (site B) (site B) (site B) (site B) (site B) (site B) (site B) (site B) (site B) (site B) (site B) (site B) (site B) (site B) (site B) (site B) (site B)</t>
        </is>
      </c>
      <c r="D32" s="4" t="inlineStr">
        <is>
          <t>Weak value proposition</t>
        </is>
      </c>
      <c r="E32" s="4" t="inlineStr">
        <is>
          <t>Competitor offers</t>
        </is>
      </c>
      <c r="F32" s="4" t="inlineStr">
        <is>
          <t>Revenue loss</t>
        </is>
      </c>
      <c r="G32" s="4" t="n">
        <v>3</v>
      </c>
      <c r="H32" s="4" t="n">
        <v>4</v>
      </c>
      <c r="I32" s="4">
        <f>G32*H32</f>
        <v/>
      </c>
      <c r="J32" s="4">
        <f>IF(I32&lt;=Risk_Appetite!$B$3,"Low",IF(I32&lt;=Risk_Appetite!$B$4,"Medium",IF(I32&lt;=Risk_Appetite!$B$5,"High","Critical")))</f>
        <v/>
      </c>
      <c r="K32" s="4" t="inlineStr">
        <is>
          <t>Customer success program</t>
        </is>
      </c>
      <c r="L32" s="4" t="inlineStr">
        <is>
          <t>Moderate</t>
        </is>
      </c>
      <c r="M32" s="4" t="n">
        <v>2</v>
      </c>
      <c r="N32" s="4" t="n">
        <v>3</v>
      </c>
      <c r="O32" s="4">
        <f>M32*N32</f>
        <v/>
      </c>
      <c r="P32" s="4">
        <f>IF(O32&lt;=Risk_Appetite!$B$3,"Low",IF(O32&lt;=Risk_Appetite!$B$4,"Medium",IF(O32&lt;=Risk_Appetite!$B$5,"High","Critical")))</f>
        <v/>
      </c>
      <c r="Q32" s="4" t="inlineStr">
        <is>
          <t>Sales Director</t>
        </is>
      </c>
      <c r="R32" s="4" t="inlineStr">
        <is>
          <t>Reduce</t>
        </is>
      </c>
      <c r="S32" s="4" t="inlineStr">
        <is>
          <t>A-080</t>
        </is>
      </c>
      <c r="T32" s="5" t="inlineStr">
        <is>
          <t>2025-09-10</t>
        </is>
      </c>
      <c r="U32" s="4" t="inlineStr">
        <is>
          <t>In progress</t>
        </is>
      </c>
      <c r="V32" s="4" t="inlineStr">
        <is>
          <t>Fast</t>
        </is>
      </c>
      <c r="W32" s="5" t="inlineStr">
        <is>
          <t>2025-08-28</t>
        </is>
      </c>
      <c r="X32" s="5" t="inlineStr">
        <is>
          <t>2025-08-15</t>
        </is>
      </c>
      <c r="Y32" s="4" t="inlineStr">
        <is>
          <t>Renewal playbook (extended) (extended) (extended) (extended) (extended) (extended) (extended) (extended) (extended) (extended) (extended) (extended) (extended) (extended) (extended) (extended) (extended) (extended) (extended) (extended) (extended)</t>
        </is>
      </c>
      <c r="Z32" s="4">
        <f>"R-"&amp;TEXT(A32,"0000")</f>
        <v/>
      </c>
      <c r="AA32" s="4">
        <f>IF(X32&lt;&gt;"",TODAY()-X32,"")</f>
        <v/>
      </c>
      <c r="AB32" s="5">
        <f>IF(V32="Fast",TODAY()+30,IF(V32="Medium",TODAY()+60,TODAY()+90))</f>
        <v/>
      </c>
      <c r="AC32" s="4">
        <f>AA32-TODAY()</f>
        <v/>
      </c>
      <c r="AD32" s="4">
        <f>IF(AND(OR(P32="High",P32="Critical"),U32&lt;&gt;"Closed"),"Yes","No")</f>
        <v/>
      </c>
    </row>
  </sheetData>
  <mergeCells count="1">
    <mergeCell ref="A1:AD1"/>
  </mergeCells>
  <conditionalFormatting sqref="J3:J9999">
    <cfRule type="expression" priority="1" dxfId="0">
      <formula>$J3="Critical"</formula>
    </cfRule>
    <cfRule type="expression" priority="2" dxfId="1">
      <formula>$J3="High"</formula>
    </cfRule>
    <cfRule type="expression" priority="3" dxfId="2">
      <formula>$J3="Medium"</formula>
    </cfRule>
    <cfRule type="expression" priority="4" dxfId="3">
      <formula>$J3="Low"</formula>
    </cfRule>
  </conditionalFormatting>
  <conditionalFormatting sqref="P3:P9999">
    <cfRule type="expression" priority="5" dxfId="0">
      <formula>$P3="Critical"</formula>
    </cfRule>
    <cfRule type="expression" priority="6" dxfId="1">
      <formula>$P3="High"</formula>
    </cfRule>
    <cfRule type="expression" priority="7" dxfId="2">
      <formula>$P3="Medium"</formula>
    </cfRule>
    <cfRule type="expression" priority="8" dxfId="3">
      <formula>$P3="Low"</formula>
    </cfRule>
  </conditionalFormatting>
  <conditionalFormatting sqref="A3:AD9999">
    <cfRule type="expression" priority="9" dxfId="0">
      <formula>AND($U3&lt;&gt;"Closed",$T3&lt;TODAY())</formula>
    </cfRule>
    <cfRule type="expression" priority="10" dxfId="1">
      <formula>$AD3="Yes"</formula>
    </cfRule>
  </conditionalFormatting>
  <conditionalFormatting sqref="AA3:AC9999">
    <cfRule type="expression" priority="11" dxfId="2">
      <formula>$AC3&lt;=7</formula>
    </cfRule>
  </conditionalFormatting>
  <dataValidations count="6">
    <dataValidation sqref="B3:B9999" showErrorMessage="1" showInputMessage="1" allowBlank="1" type="list">
      <formula1>"Strategic,Financial,Operational,Compliance,IT,Security,HSE,Reputational,Project"</formula1>
    </dataValidation>
    <dataValidation sqref="G3:G9999 H3:H9999 M3:M9999 N3:N9999" showErrorMessage="1" showInputMessage="1" allowBlank="1" type="whole" operator="between">
      <formula1>1</formula1>
      <formula2>5</formula2>
    </dataValidation>
    <dataValidation sqref="L3:L9999" showErrorMessage="1" showInputMessage="1" allowBlank="1" type="list">
      <formula1>"Strong,Moderate,Weak"</formula1>
    </dataValidation>
    <dataValidation sqref="R3:R9999" showErrorMessage="1" showInputMessage="1" allowBlank="1" type="list">
      <formula1>"Avoid,Reduce,Transfer,Accept"</formula1>
    </dataValidation>
    <dataValidation sqref="U3:U9999" showErrorMessage="1" showInputMessage="1" allowBlank="1" type="list">
      <formula1>"Open,In progress,Closed,Deferred"</formula1>
    </dataValidation>
    <dataValidation sqref="V3:V9999" showErrorMessage="1" showInputMessage="1" allowBlank="1" type="list">
      <formula1>"Fast,Medium,Slow"</formula1>
    </dataValidation>
  </dataValidations>
  <pageMargins left="0.75" right="0.75" top="1" bottom="1" header="0.5" footer="0.5"/>
  <tableParts count="1">
    <tablePart xmlns:r="http://schemas.openxmlformats.org/officeDocument/2006/relationships" r:id="rId1"/>
  </tableParts>
</worksheet>
</file>

<file path=xl/worksheets/sheet4.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10" customWidth="1" min="1" max="1"/>
    <col width="28" customWidth="1" min="2" max="2"/>
    <col width="18" customWidth="1" min="3" max="3"/>
    <col width="18" customWidth="1" min="4" max="4"/>
    <col width="18" customWidth="1" min="5" max="5"/>
    <col width="18" customWidth="1" min="6" max="6"/>
    <col width="28" customWidth="1" min="7" max="7"/>
    <col width="28" customWidth="1" min="8" max="8"/>
  </cols>
  <sheetData>
    <row r="1">
      <c r="A1" s="2" t="inlineStr">
        <is>
          <t>Controls Library — Inventory &amp; Effectiveness</t>
        </is>
      </c>
    </row>
    <row r="2">
      <c r="A2" s="3" t="inlineStr">
        <is>
          <t>Ctrl ID</t>
        </is>
      </c>
      <c r="B2" s="3" t="inlineStr">
        <is>
          <t>Control Name</t>
        </is>
      </c>
      <c r="C2" s="3" t="inlineStr">
        <is>
          <t>Type (Prev/Det/Cor)</t>
        </is>
      </c>
      <c r="D2" s="3" t="inlineStr">
        <is>
          <t>Frequency</t>
        </is>
      </c>
      <c r="E2" s="3" t="inlineStr">
        <is>
          <t>Owner</t>
        </is>
      </c>
      <c r="F2" s="3" t="inlineStr">
        <is>
          <t>Effectiveness</t>
        </is>
      </c>
      <c r="G2" s="3" t="inlineStr">
        <is>
          <t>Documentation</t>
        </is>
      </c>
      <c r="H2" s="3" t="inlineStr">
        <is>
          <t>Notes</t>
        </is>
      </c>
    </row>
    <row r="3">
      <c r="A3" s="4" t="inlineStr">
        <is>
          <t>C-001</t>
        </is>
      </c>
      <c r="B3" s="4" t="inlineStr">
        <is>
          <t>Dual approval &gt; threshold</t>
        </is>
      </c>
      <c r="C3" s="4" t="inlineStr">
        <is>
          <t>Preventive</t>
        </is>
      </c>
      <c r="D3" s="4" t="inlineStr">
        <is>
          <t>Per transaction</t>
        </is>
      </c>
      <c r="E3" s="4" t="inlineStr">
        <is>
          <t>CFO</t>
        </is>
      </c>
      <c r="F3" s="4" t="inlineStr">
        <is>
          <t>Strong</t>
        </is>
      </c>
      <c r="G3" s="4" t="inlineStr">
        <is>
          <t>Policy AP-07; ERP rule</t>
        </is>
      </c>
      <c r="H3" s="4" t="inlineStr"/>
    </row>
    <row r="4">
      <c r="A4" s="4" t="inlineStr">
        <is>
          <t>C-002</t>
        </is>
      </c>
      <c r="B4" s="4" t="inlineStr">
        <is>
          <t>Three-way match (PO/GRN/Invoice)</t>
        </is>
      </c>
      <c r="C4" s="4" t="inlineStr">
        <is>
          <t>Preventive</t>
        </is>
      </c>
      <c r="D4" s="4" t="inlineStr">
        <is>
          <t>Per transaction</t>
        </is>
      </c>
      <c r="E4" s="4" t="inlineStr">
        <is>
          <t>AP Manager</t>
        </is>
      </c>
      <c r="F4" s="4" t="inlineStr">
        <is>
          <t>Moderate</t>
        </is>
      </c>
      <c r="G4" s="4" t="inlineStr">
        <is>
          <t>AP-09 procedure</t>
        </is>
      </c>
      <c r="H4" s="4" t="inlineStr"/>
    </row>
    <row r="5">
      <c r="A5" s="4" t="inlineStr">
        <is>
          <t>C-003</t>
        </is>
      </c>
      <c r="B5" s="4" t="inlineStr">
        <is>
          <t>Supplier master review</t>
        </is>
      </c>
      <c r="C5" s="4" t="inlineStr">
        <is>
          <t>Detective</t>
        </is>
      </c>
      <c r="D5" s="4" t="inlineStr">
        <is>
          <t>Monthly</t>
        </is>
      </c>
      <c r="E5" s="4" t="inlineStr">
        <is>
          <t>Procurement</t>
        </is>
      </c>
      <c r="F5" s="4" t="inlineStr">
        <is>
          <t>Moderate</t>
        </is>
      </c>
      <c r="G5" s="4" t="inlineStr">
        <is>
          <t>Vendor change log review</t>
        </is>
      </c>
      <c r="H5" s="4" t="inlineStr"/>
    </row>
    <row r="6">
      <c r="A6" s="4" t="inlineStr">
        <is>
          <t>C-004</t>
        </is>
      </c>
      <c r="B6" s="4" t="inlineStr">
        <is>
          <t>User access review (ERP)</t>
        </is>
      </c>
      <c r="C6" s="4" t="inlineStr">
        <is>
          <t>Detective</t>
        </is>
      </c>
      <c r="D6" s="4" t="inlineStr">
        <is>
          <t>Quarterly</t>
        </is>
      </c>
      <c r="E6" s="4" t="inlineStr">
        <is>
          <t>IT Sec</t>
        </is>
      </c>
      <c r="F6" s="4" t="inlineStr">
        <is>
          <t>Strong</t>
        </is>
      </c>
      <c r="G6" s="4" t="inlineStr">
        <is>
          <t>Access recertification report</t>
        </is>
      </c>
      <c r="H6" s="4" t="inlineStr"/>
    </row>
    <row r="7">
      <c r="A7" s="4" t="inlineStr">
        <is>
          <t>C-005</t>
        </is>
      </c>
      <c r="B7" s="4" t="inlineStr">
        <is>
          <t>Backup restore test</t>
        </is>
      </c>
      <c r="C7" s="4" t="inlineStr">
        <is>
          <t>Detective</t>
        </is>
      </c>
      <c r="D7" s="4" t="inlineStr">
        <is>
          <t>Monthly</t>
        </is>
      </c>
      <c r="E7" s="4" t="inlineStr">
        <is>
          <t>IT Ops</t>
        </is>
      </c>
      <c r="F7" s="4" t="inlineStr">
        <is>
          <t>Moderate</t>
        </is>
      </c>
      <c r="G7" s="4" t="inlineStr">
        <is>
          <t>Restore logs</t>
        </is>
      </c>
      <c r="H7" s="4" t="inlineStr"/>
    </row>
    <row r="8">
      <c r="A8" s="4" t="inlineStr">
        <is>
          <t>C-006</t>
        </is>
      </c>
      <c r="B8" s="4" t="inlineStr">
        <is>
          <t>Patch management</t>
        </is>
      </c>
      <c r="C8" s="4" t="inlineStr">
        <is>
          <t>Preventive</t>
        </is>
      </c>
      <c r="D8" s="4" t="inlineStr">
        <is>
          <t>Monthly</t>
        </is>
      </c>
      <c r="E8" s="4" t="inlineStr">
        <is>
          <t>IT Ops</t>
        </is>
      </c>
      <c r="F8" s="4" t="inlineStr">
        <is>
          <t>Moderate</t>
        </is>
      </c>
      <c r="G8" s="4" t="inlineStr">
        <is>
          <t>Patch calendar</t>
        </is>
      </c>
      <c r="H8" s="4" t="inlineStr"/>
    </row>
    <row r="9">
      <c r="A9" s="4" t="inlineStr">
        <is>
          <t>C-007</t>
        </is>
      </c>
      <c r="B9" s="4" t="inlineStr">
        <is>
          <t>Anti-phishing awareness</t>
        </is>
      </c>
      <c r="C9" s="4" t="inlineStr">
        <is>
          <t>Preventive</t>
        </is>
      </c>
      <c r="D9" s="4" t="inlineStr">
        <is>
          <t>Quarterly</t>
        </is>
      </c>
      <c r="E9" s="4" t="inlineStr">
        <is>
          <t>HR/IT</t>
        </is>
      </c>
      <c r="F9" s="4" t="inlineStr">
        <is>
          <t>Moderate</t>
        </is>
      </c>
      <c r="G9" s="4" t="inlineStr">
        <is>
          <t>Training records</t>
        </is>
      </c>
      <c r="H9" s="4" t="inlineStr"/>
    </row>
    <row r="10">
      <c r="A10" s="4" t="inlineStr">
        <is>
          <t>C-008</t>
        </is>
      </c>
      <c r="B10" s="4" t="inlineStr">
        <is>
          <t>Incident response drill</t>
        </is>
      </c>
      <c r="C10" s="4" t="inlineStr">
        <is>
          <t>Detective</t>
        </is>
      </c>
      <c r="D10" s="4" t="inlineStr">
        <is>
          <t>Semi-annual</t>
        </is>
      </c>
      <c r="E10" s="4" t="inlineStr">
        <is>
          <t>Security</t>
        </is>
      </c>
      <c r="F10" s="4" t="inlineStr">
        <is>
          <t>Moderate</t>
        </is>
      </c>
      <c r="G10" s="4" t="inlineStr">
        <is>
          <t>IR playbook</t>
        </is>
      </c>
      <c r="H10" s="4" t="inlineStr"/>
    </row>
    <row r="11">
      <c r="A11" s="4" t="inlineStr">
        <is>
          <t>C-009</t>
        </is>
      </c>
      <c r="B11" s="4" t="inlineStr">
        <is>
          <t>SOX key controls testing</t>
        </is>
      </c>
      <c r="C11" s="4" t="inlineStr">
        <is>
          <t>Detective</t>
        </is>
      </c>
      <c r="D11" s="4" t="inlineStr">
        <is>
          <t>Quarterly</t>
        </is>
      </c>
      <c r="E11" s="4" t="inlineStr">
        <is>
          <t>Internal Audit</t>
        </is>
      </c>
      <c r="F11" s="4" t="inlineStr">
        <is>
          <t>Strong</t>
        </is>
      </c>
      <c r="G11" s="4" t="inlineStr">
        <is>
          <t>Testing scripts</t>
        </is>
      </c>
      <c r="H11" s="4" t="inlineStr"/>
    </row>
    <row r="12">
      <c r="A12" s="4" t="inlineStr">
        <is>
          <t>C-010</t>
        </is>
      </c>
      <c r="B12" s="4" t="inlineStr">
        <is>
          <t>Quality inspection sampling</t>
        </is>
      </c>
      <c r="C12" s="4" t="inlineStr">
        <is>
          <t>Detective</t>
        </is>
      </c>
      <c r="D12" s="4" t="inlineStr">
        <is>
          <t>Per batch</t>
        </is>
      </c>
      <c r="E12" s="4" t="inlineStr">
        <is>
          <t>Quality</t>
        </is>
      </c>
      <c r="F12" s="4" t="inlineStr">
        <is>
          <t>Moderate</t>
        </is>
      </c>
      <c r="G12" s="4" t="inlineStr">
        <is>
          <t>QC checklist</t>
        </is>
      </c>
      <c r="H12" s="4" t="inlineStr"/>
    </row>
  </sheetData>
  <mergeCells count="1">
    <mergeCell ref="A1:H1"/>
  </mergeCells>
  <dataValidations count="1">
    <dataValidation sqref="F3:F9999" showErrorMessage="1" showInputMessage="1" allowBlank="1" type="list">
      <formula1>"Strong,Moderate,Weak"</formula1>
    </dataValidation>
  </dataValidations>
  <pageMargins left="0.75" right="0.75" top="1" bottom="1" header="0.5" footer="0.5"/>
  <tableParts count="1">
    <tablePart xmlns:r="http://schemas.openxmlformats.org/officeDocument/2006/relationships" r:id="rId1"/>
  </tableParts>
</worksheet>
</file>

<file path=xl/worksheets/sheet5.xml><?xml version="1.0" encoding="utf-8"?>
<worksheet xmlns="http://schemas.openxmlformats.org/spreadsheetml/2006/main">
  <sheetPr>
    <outlinePr summaryBelow="1" summaryRight="1"/>
    <pageSetUpPr/>
  </sheetPr>
  <dimension ref="A1:M22"/>
  <sheetViews>
    <sheetView workbookViewId="0">
      <selection activeCell="A1" sqref="A1"/>
    </sheetView>
  </sheetViews>
  <sheetFormatPr baseColWidth="8" defaultRowHeight="15"/>
  <cols>
    <col width="10" customWidth="1" min="1" max="1"/>
    <col width="10" customWidth="1" min="2" max="2"/>
    <col width="38" customWidth="1" min="3" max="3"/>
    <col width="18" customWidth="1" min="4" max="4"/>
    <col width="16" customWidth="1" min="5" max="5"/>
    <col width="14" customWidth="1" min="6" max="6"/>
    <col width="14" customWidth="1" min="7" max="7"/>
    <col width="16" customWidth="1" min="8" max="8"/>
    <col width="28" customWidth="1" min="9" max="9"/>
    <col width="14" customWidth="1" min="10" max="10"/>
    <col width="14" customWidth="1" min="11" max="11"/>
    <col width="12" customWidth="1" min="12" max="12"/>
    <col width="16" customWidth="1" min="13" max="13"/>
  </cols>
  <sheetData>
    <row r="1">
      <c r="A1" s="2" t="inlineStr">
        <is>
          <t>Action Plan — Risk Treatment &amp; Closure (Automated Health)</t>
        </is>
      </c>
    </row>
    <row r="2">
      <c r="A2" s="3" t="inlineStr">
        <is>
          <t>Action ID</t>
        </is>
      </c>
      <c r="B2" s="3" t="inlineStr">
        <is>
          <t>Risk ID</t>
        </is>
      </c>
      <c r="C2" s="3" t="inlineStr">
        <is>
          <t>Action</t>
        </is>
      </c>
      <c r="D2" s="3" t="inlineStr">
        <is>
          <t>Owner</t>
        </is>
      </c>
      <c r="E2" s="3" t="inlineStr">
        <is>
          <t>Priority</t>
        </is>
      </c>
      <c r="F2" s="3" t="inlineStr">
        <is>
          <t>Due Date</t>
        </is>
      </c>
      <c r="G2" s="3" t="inlineStr">
        <is>
          <t>% Complete</t>
        </is>
      </c>
      <c r="H2" s="3" t="inlineStr">
        <is>
          <t>Status</t>
        </is>
      </c>
      <c r="I2" s="3" t="inlineStr">
        <is>
          <t>Comment</t>
        </is>
      </c>
      <c r="J2" s="3" t="inlineStr">
        <is>
          <t>Closed Date</t>
        </is>
      </c>
      <c r="K2" s="3" t="inlineStr">
        <is>
          <t>Days Remaining</t>
        </is>
      </c>
      <c r="L2" s="3" t="inlineStr">
        <is>
          <t>Overdue?</t>
        </is>
      </c>
      <c r="M2" s="3" t="inlineStr">
        <is>
          <t>Health</t>
        </is>
      </c>
    </row>
    <row r="3">
      <c r="A3" s="4" t="inlineStr">
        <is>
          <t>A-001</t>
        </is>
      </c>
      <c r="B3" s="4" t="n">
        <v>1</v>
      </c>
      <c r="C3" s="4" t="inlineStr">
        <is>
          <t>Qualify two alternate suppliers</t>
        </is>
      </c>
      <c r="D3" s="4" t="inlineStr">
        <is>
          <t>Supply Manager</t>
        </is>
      </c>
      <c r="E3" s="4" t="inlineStr">
        <is>
          <t>High</t>
        </is>
      </c>
      <c r="F3" s="5" t="inlineStr">
        <is>
          <t>2025-09-15</t>
        </is>
      </c>
      <c r="G3" s="6" t="n">
        <v>0.2</v>
      </c>
      <c r="H3" s="4" t="inlineStr">
        <is>
          <t>Open</t>
        </is>
      </c>
      <c r="I3" s="4" t="inlineStr">
        <is>
          <t>RFQ launched</t>
        </is>
      </c>
      <c r="J3" s="5" t="inlineStr"/>
      <c r="K3" s="7">
        <f>IF(F3&lt;&gt;"",F3-TODAY(),"")</f>
        <v/>
      </c>
      <c r="L3" s="4">
        <f>IF(AND(H3&lt;&gt;"Closed",F3&lt;TODAY()),"Yes","No")</f>
        <v/>
      </c>
      <c r="M3" s="8">
        <f>IF(L3="Yes","Late",IF(AND(H3="In progress",G3&lt;0.5,F3-TODAY()&lt;=7),"At Risk","On Track"))</f>
        <v/>
      </c>
    </row>
    <row r="4">
      <c r="A4" s="4" t="inlineStr">
        <is>
          <t>A-002</t>
        </is>
      </c>
      <c r="B4" s="4" t="n">
        <v>1</v>
      </c>
      <c r="C4" s="4" t="inlineStr">
        <is>
          <t>Revise safety stock parameters</t>
        </is>
      </c>
      <c r="D4" s="4" t="inlineStr">
        <is>
          <t>Supply Manager</t>
        </is>
      </c>
      <c r="E4" s="4" t="inlineStr">
        <is>
          <t>Medium</t>
        </is>
      </c>
      <c r="F4" s="5" t="inlineStr">
        <is>
          <t>2025-09-05</t>
        </is>
      </c>
      <c r="G4" s="6" t="n">
        <v>0.1</v>
      </c>
      <c r="H4" s="4" t="inlineStr">
        <is>
          <t>Open</t>
        </is>
      </c>
      <c r="I4" s="4" t="inlineStr">
        <is>
          <t>Param tuning</t>
        </is>
      </c>
      <c r="J4" s="5" t="inlineStr"/>
      <c r="K4" s="7">
        <f>IF(F4&lt;&gt;"",F4-TODAY(),"")</f>
        <v/>
      </c>
      <c r="L4" s="4">
        <f>IF(AND(H4&lt;&gt;"Closed",F4&lt;TODAY()),"Yes","No")</f>
        <v/>
      </c>
      <c r="M4" s="8">
        <f>IF(L4="Yes","Late",IF(AND(H4="In progress",G4&lt;0.5,F4-TODAY()&lt;=7),"At Risk","On Track"))</f>
        <v/>
      </c>
    </row>
    <row r="5">
      <c r="A5" s="4" t="inlineStr">
        <is>
          <t>A-010</t>
        </is>
      </c>
      <c r="B5" s="4" t="n">
        <v>2</v>
      </c>
      <c r="C5" s="4" t="inlineStr">
        <is>
          <t>Enforce MFA across ERP users</t>
        </is>
      </c>
      <c r="D5" s="4" t="inlineStr">
        <is>
          <t>CISO</t>
        </is>
      </c>
      <c r="E5" s="4" t="inlineStr">
        <is>
          <t>Critical</t>
        </is>
      </c>
      <c r="F5" s="5" t="inlineStr">
        <is>
          <t>2025-08-31</t>
        </is>
      </c>
      <c r="G5" s="6" t="n">
        <v>0.6</v>
      </c>
      <c r="H5" s="4" t="inlineStr">
        <is>
          <t>In progress</t>
        </is>
      </c>
      <c r="I5" s="4" t="inlineStr">
        <is>
          <t>Pilot completed</t>
        </is>
      </c>
      <c r="J5" s="5" t="inlineStr"/>
      <c r="K5" s="7">
        <f>IF(F5&lt;&gt;"",F5-TODAY(),"")</f>
        <v/>
      </c>
      <c r="L5" s="4">
        <f>IF(AND(H5&lt;&gt;"Closed",F5&lt;TODAY()),"Yes","No")</f>
        <v/>
      </c>
      <c r="M5" s="8">
        <f>IF(L5="Yes","Late",IF(AND(H5="In progress",G5&lt;0.5,F5-TODAY()&lt;=7),"At Risk","On Track"))</f>
        <v/>
      </c>
    </row>
    <row r="6">
      <c r="A6" s="4" t="inlineStr">
        <is>
          <t>A-011</t>
        </is>
      </c>
      <c r="B6" s="4" t="n">
        <v>2</v>
      </c>
      <c r="C6" s="4" t="inlineStr">
        <is>
          <t>Phishing simulation campaign</t>
        </is>
      </c>
      <c r="D6" s="4" t="inlineStr">
        <is>
          <t>IT Sec</t>
        </is>
      </c>
      <c r="E6" s="4" t="inlineStr">
        <is>
          <t>High</t>
        </is>
      </c>
      <c r="F6" s="5" t="inlineStr">
        <is>
          <t>2025-09-10</t>
        </is>
      </c>
      <c r="G6" s="6" t="n">
        <v>0.3</v>
      </c>
      <c r="H6" s="4" t="inlineStr">
        <is>
          <t>Open</t>
        </is>
      </c>
      <c r="I6" s="4" t="inlineStr">
        <is>
          <t>Campaign planned</t>
        </is>
      </c>
      <c r="J6" s="5" t="inlineStr"/>
      <c r="K6" s="7">
        <f>IF(F6&lt;&gt;"",F6-TODAY(),"")</f>
        <v/>
      </c>
      <c r="L6" s="4">
        <f>IF(AND(H6&lt;&gt;"Closed",F6&lt;TODAY()),"Yes","No")</f>
        <v/>
      </c>
      <c r="M6" s="8">
        <f>IF(L6="Yes","Late",IF(AND(H6="In progress",G6&lt;0.5,F6-TODAY()&lt;=7),"At Risk","On Track"))</f>
        <v/>
      </c>
    </row>
    <row r="7">
      <c r="A7" s="4" t="inlineStr">
        <is>
          <t>A-020</t>
        </is>
      </c>
      <c r="B7" s="4" t="n">
        <v>3</v>
      </c>
      <c r="C7" s="4" t="inlineStr">
        <is>
          <t>Regulatory calendar rollout</t>
        </is>
      </c>
      <c r="D7" s="4" t="inlineStr">
        <is>
          <t>Compliance Lead</t>
        </is>
      </c>
      <c r="E7" s="4" t="inlineStr">
        <is>
          <t>Medium</t>
        </is>
      </c>
      <c r="F7" s="5" t="inlineStr">
        <is>
          <t>2025-10-10</t>
        </is>
      </c>
      <c r="G7" s="6" t="n">
        <v>0.4</v>
      </c>
      <c r="H7" s="4" t="inlineStr">
        <is>
          <t>Open</t>
        </is>
      </c>
      <c r="I7" s="4" t="inlineStr">
        <is>
          <t>Template ready</t>
        </is>
      </c>
      <c r="J7" s="5" t="inlineStr"/>
      <c r="K7" s="7">
        <f>IF(F7&lt;&gt;"",F7-TODAY(),"")</f>
        <v/>
      </c>
      <c r="L7" s="4">
        <f>IF(AND(H7&lt;&gt;"Closed",F7&lt;TODAY()),"Yes","No")</f>
        <v/>
      </c>
      <c r="M7" s="8">
        <f>IF(L7="Yes","Late",IF(AND(H7="In progress",G7&lt;0.5,F7-TODAY()&lt;=7),"At Risk","On Track"))</f>
        <v/>
      </c>
    </row>
    <row r="8">
      <c r="A8" s="4" t="inlineStr">
        <is>
          <t>A-030</t>
        </is>
      </c>
      <c r="B8" s="4" t="n">
        <v>4</v>
      </c>
      <c r="C8" s="4" t="inlineStr">
        <is>
          <t>Execute forward contracts</t>
        </is>
      </c>
      <c r="D8" s="4" t="inlineStr">
        <is>
          <t>Treasurer</t>
        </is>
      </c>
      <c r="E8" s="4" t="inlineStr">
        <is>
          <t>High</t>
        </is>
      </c>
      <c r="F8" s="5" t="inlineStr">
        <is>
          <t>2025-09-30</t>
        </is>
      </c>
      <c r="G8" s="6" t="n">
        <v>0.2</v>
      </c>
      <c r="H8" s="4" t="inlineStr">
        <is>
          <t>Open</t>
        </is>
      </c>
      <c r="I8" s="4" t="inlineStr">
        <is>
          <t>Quotes requested</t>
        </is>
      </c>
      <c r="J8" s="5" t="inlineStr"/>
      <c r="K8" s="7">
        <f>IF(F8&lt;&gt;"",F8-TODAY(),"")</f>
        <v/>
      </c>
      <c r="L8" s="4">
        <f>IF(AND(H8&lt;&gt;"Closed",F8&lt;TODAY()),"Yes","No")</f>
        <v/>
      </c>
      <c r="M8" s="8">
        <f>IF(L8="Yes","Late",IF(AND(H8="In progress",G8&lt;0.5,F8-TODAY()&lt;=7),"At Risk","On Track"))</f>
        <v/>
      </c>
    </row>
    <row r="9">
      <c r="A9" s="4" t="inlineStr">
        <is>
          <t>A-040</t>
        </is>
      </c>
      <c r="B9" s="4" t="n">
        <v>5</v>
      </c>
      <c r="C9" s="4" t="inlineStr">
        <is>
          <t>Tighten admin rights</t>
        </is>
      </c>
      <c r="D9" s="4" t="inlineStr">
        <is>
          <t>IT Sec Manager</t>
        </is>
      </c>
      <c r="E9" s="4" t="inlineStr">
        <is>
          <t>High</t>
        </is>
      </c>
      <c r="F9" s="5" t="inlineStr">
        <is>
          <t>2025-09-05</t>
        </is>
      </c>
      <c r="G9" s="6" t="n">
        <v>0.5</v>
      </c>
      <c r="H9" s="4" t="inlineStr">
        <is>
          <t>In progress</t>
        </is>
      </c>
      <c r="I9" s="4" t="inlineStr">
        <is>
          <t>RBAC cleanup</t>
        </is>
      </c>
      <c r="J9" s="5" t="inlineStr"/>
      <c r="K9" s="7">
        <f>IF(F9&lt;&gt;"",F9-TODAY(),"")</f>
        <v/>
      </c>
      <c r="L9" s="4">
        <f>IF(AND(H9&lt;&gt;"Closed",F9&lt;TODAY()),"Yes","No")</f>
        <v/>
      </c>
      <c r="M9" s="8">
        <f>IF(L9="Yes","Late",IF(AND(H9="In progress",G9&lt;0.5,F9-TODAY()&lt;=7),"At Risk","On Track"))</f>
        <v/>
      </c>
    </row>
    <row r="10">
      <c r="A10" s="4" t="inlineStr">
        <is>
          <t>A-050</t>
        </is>
      </c>
      <c r="B10" s="4" t="n">
        <v>6</v>
      </c>
      <c r="C10" s="4" t="inlineStr">
        <is>
          <t>Repaint lanes, add mirrors</t>
        </is>
      </c>
      <c r="D10" s="4" t="inlineStr">
        <is>
          <t>HSE Manager</t>
        </is>
      </c>
      <c r="E10" s="4" t="inlineStr">
        <is>
          <t>Medium</t>
        </is>
      </c>
      <c r="F10" s="5" t="inlineStr">
        <is>
          <t>2025-09-25</t>
        </is>
      </c>
      <c r="G10" s="6" t="n">
        <v>0.3</v>
      </c>
      <c r="H10" s="4" t="inlineStr">
        <is>
          <t>Open</t>
        </is>
      </c>
      <c r="I10" s="4" t="inlineStr">
        <is>
          <t>Materials ordered</t>
        </is>
      </c>
      <c r="J10" s="5" t="inlineStr"/>
      <c r="K10" s="7">
        <f>IF(F10&lt;&gt;"",F10-TODAY(),"")</f>
        <v/>
      </c>
      <c r="L10" s="4">
        <f>IF(AND(H10&lt;&gt;"Closed",F10&lt;TODAY()),"Yes","No")</f>
        <v/>
      </c>
      <c r="M10" s="8">
        <f>IF(L10="Yes","Late",IF(AND(H10="In progress",G10&lt;0.5,F10-TODAY()&lt;=7),"At Risk","On Track"))</f>
        <v/>
      </c>
    </row>
    <row r="11">
      <c r="A11" s="4" t="inlineStr">
        <is>
          <t>A-060</t>
        </is>
      </c>
      <c r="B11" s="4" t="n">
        <v>7</v>
      </c>
      <c r="C11" s="4" t="inlineStr">
        <is>
          <t>Enforce change request form</t>
        </is>
      </c>
      <c r="D11" s="4" t="inlineStr">
        <is>
          <t>PMO</t>
        </is>
      </c>
      <c r="E11" s="4" t="inlineStr">
        <is>
          <t>High</t>
        </is>
      </c>
      <c r="F11" s="5" t="inlineStr">
        <is>
          <t>2025-10-05</t>
        </is>
      </c>
      <c r="G11" s="6" t="n">
        <v>0.2</v>
      </c>
      <c r="H11" s="4" t="inlineStr">
        <is>
          <t>Open</t>
        </is>
      </c>
      <c r="I11" s="4" t="inlineStr">
        <is>
          <t>Form drafted</t>
        </is>
      </c>
      <c r="J11" s="5" t="inlineStr"/>
      <c r="K11" s="7">
        <f>IF(F11&lt;&gt;"",F11-TODAY(),"")</f>
        <v/>
      </c>
      <c r="L11" s="4">
        <f>IF(AND(H11&lt;&gt;"Closed",F11&lt;TODAY()),"Yes","No")</f>
        <v/>
      </c>
      <c r="M11" s="8">
        <f>IF(L11="Yes","Late",IF(AND(H11="In progress",G11&lt;0.5,F11-TODAY()&lt;=7),"At Risk","On Track"))</f>
        <v/>
      </c>
    </row>
    <row r="12">
      <c r="A12" s="4" t="inlineStr">
        <is>
          <t>A-070</t>
        </is>
      </c>
      <c r="B12" s="4" t="n">
        <v>8</v>
      </c>
      <c r="C12" s="4" t="inlineStr">
        <is>
          <t>Crisis playbook drill</t>
        </is>
      </c>
      <c r="D12" s="4" t="inlineStr">
        <is>
          <t>Comms Director</t>
        </is>
      </c>
      <c r="E12" s="4" t="inlineStr">
        <is>
          <t>Medium</t>
        </is>
      </c>
      <c r="F12" s="5" t="inlineStr">
        <is>
          <t>2025-09-18</t>
        </is>
      </c>
      <c r="G12" s="6" t="n">
        <v>0.1</v>
      </c>
      <c r="H12" s="4" t="inlineStr">
        <is>
          <t>Open</t>
        </is>
      </c>
      <c r="I12" s="4" t="inlineStr">
        <is>
          <t>Drill scheduled</t>
        </is>
      </c>
      <c r="J12" s="5" t="inlineStr"/>
      <c r="K12" s="7">
        <f>IF(F12&lt;&gt;"",F12-TODAY(),"")</f>
        <v/>
      </c>
      <c r="L12" s="4">
        <f>IF(AND(H12&lt;&gt;"Closed",F12&lt;TODAY()),"Yes","No")</f>
        <v/>
      </c>
      <c r="M12" s="8">
        <f>IF(L12="Yes","Late",IF(AND(H12="In progress",G12&lt;0.5,F12-TODAY()&lt;=7),"At Risk","On Track"))</f>
        <v/>
      </c>
    </row>
    <row r="13">
      <c r="A13" s="4" t="inlineStr">
        <is>
          <t>A-080</t>
        </is>
      </c>
      <c r="B13" s="4" t="n">
        <v>9</v>
      </c>
      <c r="C13" s="4" t="inlineStr">
        <is>
          <t>Renewal playbook rollout</t>
        </is>
      </c>
      <c r="D13" s="4" t="inlineStr">
        <is>
          <t>Sales Director</t>
        </is>
      </c>
      <c r="E13" s="4" t="inlineStr">
        <is>
          <t>High</t>
        </is>
      </c>
      <c r="F13" s="5" t="inlineStr">
        <is>
          <t>2025-10-20</t>
        </is>
      </c>
      <c r="G13" s="6" t="n">
        <v>0.15</v>
      </c>
      <c r="H13" s="4" t="inlineStr">
        <is>
          <t>Open</t>
        </is>
      </c>
      <c r="I13" s="4" t="inlineStr">
        <is>
          <t>Kickoff set</t>
        </is>
      </c>
      <c r="J13" s="5" t="inlineStr"/>
      <c r="K13" s="7">
        <f>IF(F13&lt;&gt;"",F13-TODAY(),"")</f>
        <v/>
      </c>
      <c r="L13" s="4">
        <f>IF(AND(H13&lt;&gt;"Closed",F13&lt;TODAY()),"Yes","No")</f>
        <v/>
      </c>
      <c r="M13" s="8">
        <f>IF(L13="Yes","Late",IF(AND(H13="In progress",G13&lt;0.5,F13-TODAY()&lt;=7),"At Risk","On Track"))</f>
        <v/>
      </c>
    </row>
    <row r="14">
      <c r="A14" s="4" t="inlineStr">
        <is>
          <t>A-112</t>
        </is>
      </c>
      <c r="B14" s="4" t="n">
        <v>4</v>
      </c>
      <c r="C14" s="4" t="inlineStr">
        <is>
          <t>Generic mitigation step 12</t>
        </is>
      </c>
      <c r="D14" s="4" t="inlineStr">
        <is>
          <t>Owner 12</t>
        </is>
      </c>
      <c r="E14" s="4" t="inlineStr">
        <is>
          <t>Medium</t>
        </is>
      </c>
      <c r="F14" s="5" t="inlineStr">
        <is>
          <t>2025-10-15</t>
        </is>
      </c>
      <c r="G14" s="6" t="n">
        <v>0.1</v>
      </c>
      <c r="H14" s="4" t="inlineStr">
        <is>
          <t>Open</t>
        </is>
      </c>
      <c r="I14" s="4" t="inlineStr"/>
      <c r="J14" s="5" t="inlineStr"/>
      <c r="K14" s="7">
        <f>IF(F14&lt;&gt;"",F14-TODAY(),"")</f>
        <v/>
      </c>
      <c r="L14" s="4">
        <f>IF(AND(H14&lt;&gt;"Closed",F14&lt;TODAY()),"Yes","No")</f>
        <v/>
      </c>
      <c r="M14" s="8">
        <f>IF(L14="Yes","Late",IF(AND(H14="In progress",G14&lt;0.5,F14-TODAY()&lt;=7),"At Risk","On Track"))</f>
        <v/>
      </c>
    </row>
    <row r="15">
      <c r="A15" s="4" t="inlineStr">
        <is>
          <t>A-113</t>
        </is>
      </c>
      <c r="B15" s="4" t="n">
        <v>5</v>
      </c>
      <c r="C15" s="4" t="inlineStr">
        <is>
          <t>Generic mitigation step 13</t>
        </is>
      </c>
      <c r="D15" s="4" t="inlineStr">
        <is>
          <t>Owner 13</t>
        </is>
      </c>
      <c r="E15" s="4" t="inlineStr">
        <is>
          <t>Medium</t>
        </is>
      </c>
      <c r="F15" s="5" t="inlineStr">
        <is>
          <t>2025-10-15</t>
        </is>
      </c>
      <c r="G15" s="6" t="n">
        <v>0.1</v>
      </c>
      <c r="H15" s="4" t="inlineStr">
        <is>
          <t>Open</t>
        </is>
      </c>
      <c r="I15" s="4" t="inlineStr"/>
      <c r="J15" s="5" t="inlineStr"/>
      <c r="K15" s="7">
        <f>IF(F15&lt;&gt;"",F15-TODAY(),"")</f>
        <v/>
      </c>
      <c r="L15" s="4">
        <f>IF(AND(H15&lt;&gt;"Closed",F15&lt;TODAY()),"Yes","No")</f>
        <v/>
      </c>
      <c r="M15" s="8">
        <f>IF(L15="Yes","Late",IF(AND(H15="In progress",G15&lt;0.5,F15-TODAY()&lt;=7),"At Risk","On Track"))</f>
        <v/>
      </c>
    </row>
    <row r="16">
      <c r="A16" s="4" t="inlineStr">
        <is>
          <t>A-114</t>
        </is>
      </c>
      <c r="B16" s="4" t="n">
        <v>6</v>
      </c>
      <c r="C16" s="4" t="inlineStr">
        <is>
          <t>Generic mitigation step 14</t>
        </is>
      </c>
      <c r="D16" s="4" t="inlineStr">
        <is>
          <t>Owner 14</t>
        </is>
      </c>
      <c r="E16" s="4" t="inlineStr">
        <is>
          <t>Medium</t>
        </is>
      </c>
      <c r="F16" s="5" t="inlineStr">
        <is>
          <t>2025-10-15</t>
        </is>
      </c>
      <c r="G16" s="6" t="n">
        <v>0.1</v>
      </c>
      <c r="H16" s="4" t="inlineStr">
        <is>
          <t>Open</t>
        </is>
      </c>
      <c r="I16" s="4" t="inlineStr"/>
      <c r="J16" s="5" t="inlineStr"/>
      <c r="K16" s="7">
        <f>IF(F16&lt;&gt;"",F16-TODAY(),"")</f>
        <v/>
      </c>
      <c r="L16" s="4">
        <f>IF(AND(H16&lt;&gt;"Closed",F16&lt;TODAY()),"Yes","No")</f>
        <v/>
      </c>
      <c r="M16" s="8">
        <f>IF(L16="Yes","Late",IF(AND(H16="In progress",G16&lt;0.5,F16-TODAY()&lt;=7),"At Risk","On Track"))</f>
        <v/>
      </c>
    </row>
    <row r="17">
      <c r="A17" s="4" t="inlineStr">
        <is>
          <t>A-115</t>
        </is>
      </c>
      <c r="B17" s="4" t="n">
        <v>7</v>
      </c>
      <c r="C17" s="4" t="inlineStr">
        <is>
          <t>Generic mitigation step 15</t>
        </is>
      </c>
      <c r="D17" s="4" t="inlineStr">
        <is>
          <t>Owner 15</t>
        </is>
      </c>
      <c r="E17" s="4" t="inlineStr">
        <is>
          <t>Medium</t>
        </is>
      </c>
      <c r="F17" s="5" t="inlineStr">
        <is>
          <t>2025-10-15</t>
        </is>
      </c>
      <c r="G17" s="6" t="n">
        <v>0.1</v>
      </c>
      <c r="H17" s="4" t="inlineStr">
        <is>
          <t>Open</t>
        </is>
      </c>
      <c r="I17" s="4" t="inlineStr"/>
      <c r="J17" s="5" t="inlineStr"/>
      <c r="K17" s="7">
        <f>IF(F17&lt;&gt;"",F17-TODAY(),"")</f>
        <v/>
      </c>
      <c r="L17" s="4">
        <f>IF(AND(H17&lt;&gt;"Closed",F17&lt;TODAY()),"Yes","No")</f>
        <v/>
      </c>
      <c r="M17" s="8">
        <f>IF(L17="Yes","Late",IF(AND(H17="In progress",G17&lt;0.5,F17-TODAY()&lt;=7),"At Risk","On Track"))</f>
        <v/>
      </c>
    </row>
    <row r="18">
      <c r="A18" s="4" t="inlineStr">
        <is>
          <t>A-116</t>
        </is>
      </c>
      <c r="B18" s="4" t="n">
        <v>8</v>
      </c>
      <c r="C18" s="4" t="inlineStr">
        <is>
          <t>Generic mitigation step 16</t>
        </is>
      </c>
      <c r="D18" s="4" t="inlineStr">
        <is>
          <t>Owner 16</t>
        </is>
      </c>
      <c r="E18" s="4" t="inlineStr">
        <is>
          <t>Medium</t>
        </is>
      </c>
      <c r="F18" s="5" t="inlineStr">
        <is>
          <t>2025-10-15</t>
        </is>
      </c>
      <c r="G18" s="6" t="n">
        <v>0.1</v>
      </c>
      <c r="H18" s="4" t="inlineStr">
        <is>
          <t>Open</t>
        </is>
      </c>
      <c r="I18" s="4" t="inlineStr"/>
      <c r="J18" s="5" t="inlineStr"/>
      <c r="K18" s="7">
        <f>IF(F18&lt;&gt;"",F18-TODAY(),"")</f>
        <v/>
      </c>
      <c r="L18" s="4">
        <f>IF(AND(H18&lt;&gt;"Closed",F18&lt;TODAY()),"Yes","No")</f>
        <v/>
      </c>
      <c r="M18" s="8">
        <f>IF(L18="Yes","Late",IF(AND(H18="In progress",G18&lt;0.5,F18-TODAY()&lt;=7),"At Risk","On Track"))</f>
        <v/>
      </c>
    </row>
    <row r="19">
      <c r="A19" s="4" t="inlineStr">
        <is>
          <t>A-117</t>
        </is>
      </c>
      <c r="B19" s="4" t="n">
        <v>9</v>
      </c>
      <c r="C19" s="4" t="inlineStr">
        <is>
          <t>Generic mitigation step 17</t>
        </is>
      </c>
      <c r="D19" s="4" t="inlineStr">
        <is>
          <t>Owner 17</t>
        </is>
      </c>
      <c r="E19" s="4" t="inlineStr">
        <is>
          <t>Medium</t>
        </is>
      </c>
      <c r="F19" s="5" t="inlineStr">
        <is>
          <t>2025-10-15</t>
        </is>
      </c>
      <c r="G19" s="6" t="n">
        <v>0.1</v>
      </c>
      <c r="H19" s="4" t="inlineStr">
        <is>
          <t>Open</t>
        </is>
      </c>
      <c r="I19" s="4" t="inlineStr"/>
      <c r="J19" s="5" t="inlineStr"/>
      <c r="K19" s="7">
        <f>IF(F19&lt;&gt;"",F19-TODAY(),"")</f>
        <v/>
      </c>
      <c r="L19" s="4">
        <f>IF(AND(H19&lt;&gt;"Closed",F19&lt;TODAY()),"Yes","No")</f>
        <v/>
      </c>
      <c r="M19" s="8">
        <f>IF(L19="Yes","Late",IF(AND(H19="In progress",G19&lt;0.5,F19-TODAY()&lt;=7),"At Risk","On Track"))</f>
        <v/>
      </c>
    </row>
    <row r="20">
      <c r="A20" s="4" t="inlineStr">
        <is>
          <t>A-118</t>
        </is>
      </c>
      <c r="B20" s="4" t="n">
        <v>1</v>
      </c>
      <c r="C20" s="4" t="inlineStr">
        <is>
          <t>Generic mitigation step 18</t>
        </is>
      </c>
      <c r="D20" s="4" t="inlineStr">
        <is>
          <t>Owner 18</t>
        </is>
      </c>
      <c r="E20" s="4" t="inlineStr">
        <is>
          <t>Medium</t>
        </is>
      </c>
      <c r="F20" s="5" t="inlineStr">
        <is>
          <t>2025-10-15</t>
        </is>
      </c>
      <c r="G20" s="6" t="n">
        <v>0.1</v>
      </c>
      <c r="H20" s="4" t="inlineStr">
        <is>
          <t>Open</t>
        </is>
      </c>
      <c r="I20" s="4" t="inlineStr"/>
      <c r="J20" s="5" t="inlineStr"/>
      <c r="K20" s="7">
        <f>IF(F20&lt;&gt;"",F20-TODAY(),"")</f>
        <v/>
      </c>
      <c r="L20" s="4">
        <f>IF(AND(H20&lt;&gt;"Closed",F20&lt;TODAY()),"Yes","No")</f>
        <v/>
      </c>
      <c r="M20" s="8">
        <f>IF(L20="Yes","Late",IF(AND(H20="In progress",G20&lt;0.5,F20-TODAY()&lt;=7),"At Risk","On Track"))</f>
        <v/>
      </c>
    </row>
    <row r="21">
      <c r="A21" s="4" t="inlineStr">
        <is>
          <t>A-119</t>
        </is>
      </c>
      <c r="B21" s="4" t="n">
        <v>2</v>
      </c>
      <c r="C21" s="4" t="inlineStr">
        <is>
          <t>Generic mitigation step 19</t>
        </is>
      </c>
      <c r="D21" s="4" t="inlineStr">
        <is>
          <t>Owner 19</t>
        </is>
      </c>
      <c r="E21" s="4" t="inlineStr">
        <is>
          <t>Medium</t>
        </is>
      </c>
      <c r="F21" s="5" t="inlineStr">
        <is>
          <t>2025-10-15</t>
        </is>
      </c>
      <c r="G21" s="6" t="n">
        <v>0.1</v>
      </c>
      <c r="H21" s="4" t="inlineStr">
        <is>
          <t>Open</t>
        </is>
      </c>
      <c r="I21" s="4" t="inlineStr"/>
      <c r="J21" s="5" t="inlineStr"/>
      <c r="K21" s="7">
        <f>IF(F21&lt;&gt;"",F21-TODAY(),"")</f>
        <v/>
      </c>
      <c r="L21" s="4">
        <f>IF(AND(H21&lt;&gt;"Closed",F21&lt;TODAY()),"Yes","No")</f>
        <v/>
      </c>
      <c r="M21" s="8">
        <f>IF(L21="Yes","Late",IF(AND(H21="In progress",G21&lt;0.5,F21-TODAY()&lt;=7),"At Risk","On Track"))</f>
        <v/>
      </c>
    </row>
    <row r="22">
      <c r="A22" s="4" t="inlineStr">
        <is>
          <t>A-120</t>
        </is>
      </c>
      <c r="B22" s="4" t="n">
        <v>3</v>
      </c>
      <c r="C22" s="4" t="inlineStr">
        <is>
          <t>Generic mitigation step 20</t>
        </is>
      </c>
      <c r="D22" s="4" t="inlineStr">
        <is>
          <t>Owner 20</t>
        </is>
      </c>
      <c r="E22" s="4" t="inlineStr">
        <is>
          <t>Medium</t>
        </is>
      </c>
      <c r="F22" s="5" t="inlineStr">
        <is>
          <t>2025-10-15</t>
        </is>
      </c>
      <c r="G22" s="6" t="n">
        <v>0.1</v>
      </c>
      <c r="H22" s="4" t="inlineStr">
        <is>
          <t>Open</t>
        </is>
      </c>
      <c r="I22" s="4" t="inlineStr"/>
      <c r="J22" s="5" t="inlineStr"/>
      <c r="K22" s="7">
        <f>IF(F22&lt;&gt;"",F22-TODAY(),"")</f>
        <v/>
      </c>
      <c r="L22" s="4">
        <f>IF(AND(H22&lt;&gt;"Closed",F22&lt;TODAY()),"Yes","No")</f>
        <v/>
      </c>
      <c r="M22" s="8">
        <f>IF(L22="Yes","Late",IF(AND(H22="In progress",G22&lt;0.5,F22-TODAY()&lt;=7),"At Risk","On Track"))</f>
        <v/>
      </c>
    </row>
  </sheetData>
  <mergeCells count="1">
    <mergeCell ref="A1:M1"/>
  </mergeCells>
  <conditionalFormatting sqref="A3:M9999">
    <cfRule type="expression" priority="1" dxfId="0">
      <formula>$M3="Late"</formula>
    </cfRule>
    <cfRule type="expression" priority="2" dxfId="2">
      <formula>$M3="At Risk"</formula>
    </cfRule>
    <cfRule type="expression" priority="3" dxfId="3">
      <formula>$M3="On Track"</formula>
    </cfRule>
  </conditionalFormatting>
  <dataValidations count="2">
    <dataValidation sqref="E3:E9999" showErrorMessage="1" showInputMessage="1" allowBlank="1" type="list">
      <formula1>"Low,Medium,High,Critical"</formula1>
    </dataValidation>
    <dataValidation sqref="H3:H9999" showErrorMessage="1" showInputMessage="1" allowBlank="1" type="list">
      <formula1>"Open,In progress,Closed,Deferred"</formula1>
    </dataValidation>
  </dataValidations>
  <pageMargins left="0.75" right="0.75" top="1" bottom="1" header="0.5" footer="0.5"/>
  <tableParts count="1">
    <tablePart xmlns:r="http://schemas.openxmlformats.org/officeDocument/2006/relationships" r:id="rId1"/>
  </tableParts>
</worksheet>
</file>

<file path=xl/worksheets/sheet6.xml><?xml version="1.0" encoding="utf-8"?>
<worksheet xmlns="http://schemas.openxmlformats.org/spreadsheetml/2006/main">
  <sheetPr>
    <outlinePr summaryBelow="1" summaryRight="1"/>
    <pageSetUpPr/>
  </sheetPr>
  <dimension ref="A1:N9"/>
  <sheetViews>
    <sheetView workbookViewId="0">
      <selection activeCell="A1" sqref="A1"/>
    </sheetView>
  </sheetViews>
  <sheetFormatPr baseColWidth="8" defaultRowHeight="15"/>
  <cols>
    <col width="4" customWidth="1" min="1" max="1"/>
    <col width="8" customWidth="1" min="2" max="2"/>
    <col width="8" customWidth="1" min="3" max="3"/>
    <col width="8" customWidth="1" min="4" max="4"/>
    <col width="8" customWidth="1" min="5" max="5"/>
    <col width="8" customWidth="1" min="6" max="6"/>
    <col width="4" customWidth="1" min="7" max="7"/>
    <col width="8" customWidth="1" min="8" max="8"/>
    <col width="8" customWidth="1" min="9" max="9"/>
    <col width="8" customWidth="1" min="10" max="10"/>
    <col width="8" customWidth="1" min="11" max="11"/>
    <col width="8" customWidth="1" min="12" max="12"/>
    <col width="4" customWidth="1" min="13" max="13"/>
    <col width="12" customWidth="1" min="14" max="14"/>
  </cols>
  <sheetData>
    <row r="1">
      <c r="A1" s="2" t="inlineStr">
        <is>
          <t>Risk Matrix — Inherent &amp; Residual (5x5)</t>
        </is>
      </c>
    </row>
    <row r="3">
      <c r="B3" s="9" t="inlineStr">
        <is>
          <t>INHERENT — Count of Risks</t>
        </is>
      </c>
      <c r="I3" s="9" t="inlineStr">
        <is>
          <t>RESIDUAL — Count of Risks</t>
        </is>
      </c>
    </row>
    <row r="4">
      <c r="B4" s="10" t="inlineStr">
        <is>
          <t>I1</t>
        </is>
      </c>
      <c r="C4" s="10" t="inlineStr">
        <is>
          <t>I2</t>
        </is>
      </c>
      <c r="D4" s="10" t="inlineStr">
        <is>
          <t>I3</t>
        </is>
      </c>
      <c r="E4" s="10" t="inlineStr">
        <is>
          <t>I4</t>
        </is>
      </c>
      <c r="F4" s="10" t="inlineStr">
        <is>
          <t>I5</t>
        </is>
      </c>
      <c r="I4" s="10" t="inlineStr">
        <is>
          <t>I1</t>
        </is>
      </c>
      <c r="J4" s="10" t="inlineStr">
        <is>
          <t>I2</t>
        </is>
      </c>
      <c r="K4" s="10" t="inlineStr">
        <is>
          <t>I3</t>
        </is>
      </c>
      <c r="L4" s="10" t="inlineStr">
        <is>
          <t>I4</t>
        </is>
      </c>
      <c r="M4" s="10" t="inlineStr">
        <is>
          <t>I5</t>
        </is>
      </c>
    </row>
    <row r="5">
      <c r="B5" s="11">
        <f>COUNTIFS(Risk_Register!$G$3:$G$9999,1,Risk_Register!$H$3:$H$9999,1)</f>
        <v/>
      </c>
      <c r="C5" s="8">
        <f>COUNTIFS(Risk_Register!$G$3:$G$9999,1,Risk_Register!$H$3:$H$9999,2)</f>
        <v/>
      </c>
      <c r="D5" s="8">
        <f>COUNTIFS(Risk_Register!$G$3:$G$9999,1,Risk_Register!$H$3:$H$9999,3)</f>
        <v/>
      </c>
      <c r="E5" s="8">
        <f>COUNTIFS(Risk_Register!$G$3:$G$9999,1,Risk_Register!$H$3:$H$9999,4)</f>
        <v/>
      </c>
      <c r="F5" s="8">
        <f>COUNTIFS(Risk_Register!$G$3:$G$9999,1,Risk_Register!$H$3:$H$9999,5)</f>
        <v/>
      </c>
      <c r="I5" s="11">
        <f>COUNTIFS(Risk_Register!$M$3:$M$9999,1,Risk_Register!$N$3:$N$9999,1)</f>
        <v/>
      </c>
      <c r="J5" s="8">
        <f>COUNTIFS(Risk_Register!$M$3:$M$9999,1,Risk_Register!$N$3:$N$9999,2)</f>
        <v/>
      </c>
      <c r="K5" s="8">
        <f>COUNTIFS(Risk_Register!$M$3:$M$9999,1,Risk_Register!$N$3:$N$9999,3)</f>
        <v/>
      </c>
      <c r="L5" s="8">
        <f>COUNTIFS(Risk_Register!$M$3:$M$9999,1,Risk_Register!$N$3:$N$9999,4)</f>
        <v/>
      </c>
      <c r="M5" s="8">
        <f>COUNTIFS(Risk_Register!$M$3:$M$9999,1,Risk_Register!$N$3:$N$9999,5)</f>
        <v/>
      </c>
    </row>
    <row r="6">
      <c r="B6" s="11">
        <f>COUNTIFS(Risk_Register!$G$3:$G$9999,2,Risk_Register!$H$3:$H$9999,1)</f>
        <v/>
      </c>
      <c r="C6" s="8">
        <f>COUNTIFS(Risk_Register!$G$3:$G$9999,2,Risk_Register!$H$3:$H$9999,2)</f>
        <v/>
      </c>
      <c r="D6" s="8">
        <f>COUNTIFS(Risk_Register!$G$3:$G$9999,2,Risk_Register!$H$3:$H$9999,3)</f>
        <v/>
      </c>
      <c r="E6" s="8">
        <f>COUNTIFS(Risk_Register!$G$3:$G$9999,2,Risk_Register!$H$3:$H$9999,4)</f>
        <v/>
      </c>
      <c r="F6" s="8">
        <f>COUNTIFS(Risk_Register!$G$3:$G$9999,2,Risk_Register!$H$3:$H$9999,5)</f>
        <v/>
      </c>
      <c r="I6" s="11">
        <f>COUNTIFS(Risk_Register!$M$3:$M$9999,2,Risk_Register!$N$3:$N$9999,1)</f>
        <v/>
      </c>
      <c r="J6" s="8">
        <f>COUNTIFS(Risk_Register!$M$3:$M$9999,2,Risk_Register!$N$3:$N$9999,2)</f>
        <v/>
      </c>
      <c r="K6" s="8">
        <f>COUNTIFS(Risk_Register!$M$3:$M$9999,2,Risk_Register!$N$3:$N$9999,3)</f>
        <v/>
      </c>
      <c r="L6" s="8">
        <f>COUNTIFS(Risk_Register!$M$3:$M$9999,2,Risk_Register!$N$3:$N$9999,4)</f>
        <v/>
      </c>
      <c r="M6" s="8">
        <f>COUNTIFS(Risk_Register!$M$3:$M$9999,2,Risk_Register!$N$3:$N$9999,5)</f>
        <v/>
      </c>
    </row>
    <row r="7">
      <c r="B7" s="11">
        <f>COUNTIFS(Risk_Register!$G$3:$G$9999,3,Risk_Register!$H$3:$H$9999,1)</f>
        <v/>
      </c>
      <c r="C7" s="8">
        <f>COUNTIFS(Risk_Register!$G$3:$G$9999,3,Risk_Register!$H$3:$H$9999,2)</f>
        <v/>
      </c>
      <c r="D7" s="8">
        <f>COUNTIFS(Risk_Register!$G$3:$G$9999,3,Risk_Register!$H$3:$H$9999,3)</f>
        <v/>
      </c>
      <c r="E7" s="8">
        <f>COUNTIFS(Risk_Register!$G$3:$G$9999,3,Risk_Register!$H$3:$H$9999,4)</f>
        <v/>
      </c>
      <c r="F7" s="8">
        <f>COUNTIFS(Risk_Register!$G$3:$G$9999,3,Risk_Register!$H$3:$H$9999,5)</f>
        <v/>
      </c>
      <c r="I7" s="11">
        <f>COUNTIFS(Risk_Register!$M$3:$M$9999,3,Risk_Register!$N$3:$N$9999,1)</f>
        <v/>
      </c>
      <c r="J7" s="8">
        <f>COUNTIFS(Risk_Register!$M$3:$M$9999,3,Risk_Register!$N$3:$N$9999,2)</f>
        <v/>
      </c>
      <c r="K7" s="8">
        <f>COUNTIFS(Risk_Register!$M$3:$M$9999,3,Risk_Register!$N$3:$N$9999,3)</f>
        <v/>
      </c>
      <c r="L7" s="8">
        <f>COUNTIFS(Risk_Register!$M$3:$M$9999,3,Risk_Register!$N$3:$N$9999,4)</f>
        <v/>
      </c>
      <c r="M7" s="8">
        <f>COUNTIFS(Risk_Register!$M$3:$M$9999,3,Risk_Register!$N$3:$N$9999,5)</f>
        <v/>
      </c>
    </row>
    <row r="8">
      <c r="B8" s="11">
        <f>COUNTIFS(Risk_Register!$G$3:$G$9999,4,Risk_Register!$H$3:$H$9999,1)</f>
        <v/>
      </c>
      <c r="C8" s="8">
        <f>COUNTIFS(Risk_Register!$G$3:$G$9999,4,Risk_Register!$H$3:$H$9999,2)</f>
        <v/>
      </c>
      <c r="D8" s="8">
        <f>COUNTIFS(Risk_Register!$G$3:$G$9999,4,Risk_Register!$H$3:$H$9999,3)</f>
        <v/>
      </c>
      <c r="E8" s="8">
        <f>COUNTIFS(Risk_Register!$G$3:$G$9999,4,Risk_Register!$H$3:$H$9999,4)</f>
        <v/>
      </c>
      <c r="F8" s="8">
        <f>COUNTIFS(Risk_Register!$G$3:$G$9999,4,Risk_Register!$H$3:$H$9999,5)</f>
        <v/>
      </c>
      <c r="I8" s="11">
        <f>COUNTIFS(Risk_Register!$M$3:$M$9999,4,Risk_Register!$N$3:$N$9999,1)</f>
        <v/>
      </c>
      <c r="J8" s="8">
        <f>COUNTIFS(Risk_Register!$M$3:$M$9999,4,Risk_Register!$N$3:$N$9999,2)</f>
        <v/>
      </c>
      <c r="K8" s="8">
        <f>COUNTIFS(Risk_Register!$M$3:$M$9999,4,Risk_Register!$N$3:$N$9999,3)</f>
        <v/>
      </c>
      <c r="L8" s="8">
        <f>COUNTIFS(Risk_Register!$M$3:$M$9999,4,Risk_Register!$N$3:$N$9999,4)</f>
        <v/>
      </c>
      <c r="M8" s="8">
        <f>COUNTIFS(Risk_Register!$M$3:$M$9999,4,Risk_Register!$N$3:$N$9999,5)</f>
        <v/>
      </c>
    </row>
    <row r="9">
      <c r="B9" s="11">
        <f>COUNTIFS(Risk_Register!$G$3:$G$9999,5,Risk_Register!$H$3:$H$9999,1)</f>
        <v/>
      </c>
      <c r="C9" s="8">
        <f>COUNTIFS(Risk_Register!$G$3:$G$9999,5,Risk_Register!$H$3:$H$9999,2)</f>
        <v/>
      </c>
      <c r="D9" s="8">
        <f>COUNTIFS(Risk_Register!$G$3:$G$9999,5,Risk_Register!$H$3:$H$9999,3)</f>
        <v/>
      </c>
      <c r="E9" s="8">
        <f>COUNTIFS(Risk_Register!$G$3:$G$9999,5,Risk_Register!$H$3:$H$9999,4)</f>
        <v/>
      </c>
      <c r="F9" s="8">
        <f>COUNTIFS(Risk_Register!$G$3:$G$9999,5,Risk_Register!$H$3:$H$9999,5)</f>
        <v/>
      </c>
      <c r="I9" s="11">
        <f>COUNTIFS(Risk_Register!$M$3:$M$9999,5,Risk_Register!$N$3:$N$9999,1)</f>
        <v/>
      </c>
      <c r="J9" s="8">
        <f>COUNTIFS(Risk_Register!$M$3:$M$9999,5,Risk_Register!$N$3:$N$9999,2)</f>
        <v/>
      </c>
      <c r="K9" s="8">
        <f>COUNTIFS(Risk_Register!$M$3:$M$9999,5,Risk_Register!$N$3:$N$9999,3)</f>
        <v/>
      </c>
      <c r="L9" s="8">
        <f>COUNTIFS(Risk_Register!$M$3:$M$9999,5,Risk_Register!$N$3:$N$9999,4)</f>
        <v/>
      </c>
      <c r="M9" s="8">
        <f>COUNTIFS(Risk_Register!$M$3:$M$9999,5,Risk_Register!$N$3:$N$9999,5)</f>
        <v/>
      </c>
    </row>
  </sheetData>
  <mergeCells count="1">
    <mergeCell ref="A1:N1"/>
  </mergeCells>
  <conditionalFormatting sqref="C5:G9">
    <cfRule type="colorScale" priority="1">
      <colorScale>
        <cfvo type="num" val="0"/>
        <cfvo type="num" val="3"/>
        <cfvo type="num" val="10"/>
        <color rgb="00e2f0d9"/>
        <color rgb="00fff2cc"/>
        <color rgb="00f8cbad"/>
      </colorScale>
    </cfRule>
  </conditionalFormatting>
  <conditionalFormatting sqref="J5:N9">
    <cfRule type="colorScale" priority="2">
      <colorScale>
        <cfvo type="num" val="0"/>
        <cfvo type="num" val="3"/>
        <cfvo type="num" val="10"/>
        <color rgb="00e2f0d9"/>
        <color rgb="00fff2cc"/>
        <color rgb="00f8cbad"/>
      </colorScale>
    </cfRule>
  </conditionalFormatting>
  <pageMargins left="0.75" right="0.75" top="1" bottom="1" header="0.5" footer="0.5"/>
</worksheet>
</file>

<file path=xl/worksheets/sheet7.xml><?xml version="1.0" encoding="utf-8"?>
<worksheet xmlns="http://schemas.openxmlformats.org/spreadsheetml/2006/main">
  <sheetPr>
    <outlinePr summaryBelow="1" summaryRight="1"/>
    <pageSetUpPr/>
  </sheetPr>
  <dimension ref="A1:N20"/>
  <sheetViews>
    <sheetView workbookViewId="0">
      <selection activeCell="A1" sqref="A1"/>
    </sheetView>
  </sheetViews>
  <sheetFormatPr baseColWidth="8" defaultRowHeight="15"/>
  <cols>
    <col width="28" customWidth="1" min="1" max="1"/>
    <col width="18" customWidth="1" min="2" max="2"/>
    <col width="18" customWidth="1" min="3" max="3"/>
    <col width="18" customWidth="1" min="4" max="4"/>
    <col width="18" customWidth="1" min="5" max="5"/>
    <col width="18" customWidth="1" min="6" max="6"/>
    <col width="18" customWidth="1" min="7" max="7"/>
    <col width="18" customWidth="1" min="8" max="8"/>
    <col width="18" customWidth="1" min="9" max="9"/>
    <col width="18" customWidth="1" min="10" max="10"/>
    <col width="18" customWidth="1" min="11" max="11"/>
    <col width="18" customWidth="1" min="12" max="12"/>
    <col width="18" customWidth="1" min="13" max="13"/>
    <col width="18" customWidth="1" min="14" max="14"/>
  </cols>
  <sheetData>
    <row r="1">
      <c r="A1" s="2" t="inlineStr">
        <is>
          <t>Dashboard — Risk KPIs &amp; Distributions (Enhanced)</t>
        </is>
      </c>
    </row>
    <row r="3">
      <c r="A3" s="12" t="inlineStr">
        <is>
          <t>Total Risks</t>
        </is>
      </c>
      <c r="B3" s="13">
        <f>COUNTA(Risk_Register!A3:A9999)</f>
        <v/>
      </c>
      <c r="D3" t="inlineStr">
        <is>
          <t>Residual Level</t>
        </is>
      </c>
      <c r="E3" t="inlineStr">
        <is>
          <t>Count</t>
        </is>
      </c>
      <c r="H3" t="inlineStr">
        <is>
          <t>Category</t>
        </is>
      </c>
      <c r="I3" t="inlineStr">
        <is>
          <t>High+Critical</t>
        </is>
      </c>
    </row>
    <row r="4">
      <c r="D4" s="14" t="inlineStr">
        <is>
          <t>Low</t>
        </is>
      </c>
      <c r="E4" s="8">
        <f>COUNTIF(Risk_Register!P3:P9999,"Low")</f>
        <v/>
      </c>
      <c r="H4" s="14" t="inlineStr">
        <is>
          <t>Strategic</t>
        </is>
      </c>
      <c r="I4" s="8">
        <f>COUNTIFS(Risk_Register!B3:B9999,"Strategic",Risk_Register!P3:P9999,"High")+COUNTIFS(Risk_Register!B3:B9999,"Strategic",Risk_Register!P3:P9999,"Critical")</f>
        <v/>
      </c>
    </row>
    <row r="5">
      <c r="A5" s="12" t="inlineStr">
        <is>
          <t>High &amp; Critical (Residual)</t>
        </is>
      </c>
      <c r="B5" s="13">
        <f>COUNTIF(Risk_Register!P3:P9999,"High")+COUNTIF(Risk_Register!P3:P9999,"Critical")</f>
        <v/>
      </c>
      <c r="D5" s="14" t="inlineStr">
        <is>
          <t>Medium</t>
        </is>
      </c>
      <c r="E5" s="8">
        <f>COUNTIF(Risk_Register!P3:P9999,"Medium")</f>
        <v/>
      </c>
      <c r="H5" s="14" t="inlineStr">
        <is>
          <t>Financial</t>
        </is>
      </c>
      <c r="I5" s="8">
        <f>COUNTIFS(Risk_Register!B3:B9999,"Financial",Risk_Register!P3:P9999,"High")+COUNTIFS(Risk_Register!B3:B9999,"Financial",Risk_Register!P3:P9999,"Critical")</f>
        <v/>
      </c>
    </row>
    <row r="6">
      <c r="D6" s="14" t="inlineStr">
        <is>
          <t>High</t>
        </is>
      </c>
      <c r="E6" s="8">
        <f>COUNTIF(Risk_Register!P3:P9999,"High")</f>
        <v/>
      </c>
      <c r="H6" s="14" t="inlineStr">
        <is>
          <t>Operational</t>
        </is>
      </c>
      <c r="I6" s="8">
        <f>COUNTIFS(Risk_Register!B3:B9999,"Operational",Risk_Register!P3:P9999,"High")+COUNTIFS(Risk_Register!B3:B9999,"Operational",Risk_Register!P3:P9999,"Critical")</f>
        <v/>
      </c>
    </row>
    <row r="7">
      <c r="A7" s="12" t="inlineStr">
        <is>
          <t>Open Actions</t>
        </is>
      </c>
      <c r="B7" s="13">
        <f>COUNTIF(Action_Plan!H3:H9999,"Open")+COUNTIF(Action_Plan!H3:H9999,"In progress")</f>
        <v/>
      </c>
      <c r="D7" s="14" t="inlineStr">
        <is>
          <t>Critical</t>
        </is>
      </c>
      <c r="E7" s="8">
        <f>COUNTIF(Risk_Register!P3:P9999,"Critical")</f>
        <v/>
      </c>
      <c r="H7" s="14" t="inlineStr">
        <is>
          <t>Compliance</t>
        </is>
      </c>
      <c r="I7" s="8">
        <f>COUNTIFS(Risk_Register!B3:B9999,"Compliance",Risk_Register!P3:P9999,"High")+COUNTIFS(Risk_Register!B3:B9999,"Compliance",Risk_Register!P3:P9999,"Critical")</f>
        <v/>
      </c>
    </row>
    <row r="8">
      <c r="H8" s="14" t="inlineStr">
        <is>
          <t>IT</t>
        </is>
      </c>
      <c r="I8" s="8">
        <f>COUNTIFS(Risk_Register!B3:B9999,"IT",Risk_Register!P3:P9999,"High")+COUNTIFS(Risk_Register!B3:B9999,"IT",Risk_Register!P3:P9999,"Critical")</f>
        <v/>
      </c>
    </row>
    <row r="9">
      <c r="A9" s="12" t="inlineStr">
        <is>
          <t>Overdue Actions</t>
        </is>
      </c>
      <c r="B9" s="13">
        <f>COUNTIFS(Action_Plan!H3:H9999,"&lt;&gt;Closed",Action_Plan!F3:F9999,"&lt;"&amp;TODAY())</f>
        <v/>
      </c>
      <c r="H9" s="14" t="inlineStr">
        <is>
          <t>Security</t>
        </is>
      </c>
      <c r="I9" s="8">
        <f>COUNTIFS(Risk_Register!B3:B9999,"Security",Risk_Register!P3:P9999,"High")+COUNTIFS(Risk_Register!B3:B9999,"Security",Risk_Register!P3:P9999,"Critical")</f>
        <v/>
      </c>
    </row>
    <row r="10">
      <c r="H10" s="14" t="inlineStr">
        <is>
          <t>HSE</t>
        </is>
      </c>
      <c r="I10" s="8">
        <f>COUNTIFS(Risk_Register!B3:B9999,"HSE",Risk_Register!P3:P9999,"High")+COUNTIFS(Risk_Register!B3:B9999,"HSE",Risk_Register!P3:P9999,"Critical")</f>
        <v/>
      </c>
    </row>
    <row r="11">
      <c r="A11" s="12" t="inlineStr">
        <is>
          <t>Due next 7 days (Actions)</t>
        </is>
      </c>
      <c r="B11" s="13">
        <f>COUNTIFS(Action_Plan!H3:H9999,"&lt;&gt;Closed",Action_Plan!F3:F9999,"&gt;="&amp;TODAY(),Action_Plan!F3:F9999,"&lt;="&amp;TODAY()+7)</f>
        <v/>
      </c>
      <c r="H11" s="14" t="inlineStr">
        <is>
          <t>Reputational</t>
        </is>
      </c>
      <c r="I11" s="8">
        <f>COUNTIFS(Risk_Register!B3:B9999,"Reputational",Risk_Register!P3:P9999,"High")+COUNTIFS(Risk_Register!B3:B9999,"Reputational",Risk_Register!P3:P9999,"Critical")</f>
        <v/>
      </c>
    </row>
    <row r="12">
      <c r="H12" s="14" t="inlineStr">
        <is>
          <t>Project</t>
        </is>
      </c>
      <c r="I12" s="8">
        <f>COUNTIFS(Risk_Register!B3:B9999,"Project",Risk_Register!P3:P9999,"High")+COUNTIFS(Risk_Register!B3:B9999,"Project",Risk_Register!P3:P9999,"Critical")</f>
        <v/>
      </c>
    </row>
    <row r="13">
      <c r="A13" s="12" t="inlineStr">
        <is>
          <t>Avg Residual Score</t>
        </is>
      </c>
      <c r="B13" s="13">
        <f>AVERAGEIF(Risk_Register!O3:O9999,"&gt;0")</f>
        <v/>
      </c>
    </row>
    <row r="17">
      <c r="A17" t="inlineStr">
        <is>
          <t>Velocity</t>
        </is>
      </c>
      <c r="B17" t="inlineStr">
        <is>
          <t>Count</t>
        </is>
      </c>
    </row>
    <row r="18">
      <c r="A18" t="inlineStr">
        <is>
          <t>Fast</t>
        </is>
      </c>
      <c r="B18">
        <f>COUNTIF(Risk_Register!V3:V9999,"Fast")</f>
        <v/>
      </c>
    </row>
    <row r="19">
      <c r="A19" t="inlineStr">
        <is>
          <t>Medium</t>
        </is>
      </c>
      <c r="B19">
        <f>COUNTIF(Risk_Register!V3:V9999,"Medium")</f>
        <v/>
      </c>
    </row>
    <row r="20">
      <c r="A20" t="inlineStr">
        <is>
          <t>Slow</t>
        </is>
      </c>
      <c r="B20">
        <f>COUNTIF(Risk_Register!V3:V9999,"Slow")</f>
        <v/>
      </c>
    </row>
  </sheetData>
  <mergeCells count="1">
    <mergeCell ref="A1:N1"/>
  </mergeCells>
  <pageMargins left="0.75" right="0.75" top="1" bottom="1" header="0.5" footer="0.5"/>
  <drawing xmlns:r="http://schemas.openxmlformats.org/officeDocument/2006/relationships" r:id="rId1"/>
</worksheet>
</file>

<file path=xl/worksheets/sheet8.xml><?xml version="1.0" encoding="utf-8"?>
<worksheet xmlns="http://schemas.openxmlformats.org/spreadsheetml/2006/main">
  <sheetPr>
    <outlinePr summaryBelow="1" summaryRight="1"/>
    <pageSetUpPr/>
  </sheetPr>
  <dimension ref="A1:I14"/>
  <sheetViews>
    <sheetView workbookViewId="0">
      <selection activeCell="A1" sqref="A1"/>
    </sheetView>
  </sheetViews>
  <sheetFormatPr baseColWidth="8" defaultRowHeight="15"/>
  <cols>
    <col width="22" customWidth="1" min="1" max="1"/>
    <col width="8" customWidth="1" min="2" max="2"/>
    <col width="22" customWidth="1" min="3" max="3"/>
    <col width="8" customWidth="1" min="4" max="4"/>
    <col width="22" customWidth="1" min="5" max="5"/>
    <col width="8" customWidth="1" min="6" max="6"/>
    <col width="22" customWidth="1" min="7" max="7"/>
    <col width="8" customWidth="1" min="8" max="8"/>
    <col width="22" customWidth="1" min="9" max="9"/>
  </cols>
  <sheetData>
    <row r="1">
      <c r="A1" s="2" t="inlineStr">
        <is>
          <t>Descendance des Flux — Processus de Gestion des Risques</t>
        </is>
      </c>
    </row>
    <row r="3">
      <c r="A3" s="15" t="inlineStr">
        <is>
          <t>1. Identification</t>
        </is>
      </c>
      <c r="C3" s="16" t="inlineStr">
        <is>
          <t>2. Évaluation</t>
        </is>
      </c>
      <c r="E3" s="17" t="inlineStr">
        <is>
          <t>3. Traitement</t>
        </is>
      </c>
      <c r="G3" s="3" t="inlineStr">
        <is>
          <t>4. Suivi &amp; Reporting</t>
        </is>
      </c>
      <c r="I3" s="18" t="inlineStr">
        <is>
          <t>5. Réexamen</t>
        </is>
      </c>
    </row>
    <row r="4">
      <c r="A4" s="4" t="n"/>
      <c r="B4" s="19" t="inlineStr">
        <is>
          <t>→</t>
        </is>
      </c>
      <c r="C4" s="4" t="n"/>
      <c r="D4" s="19" t="inlineStr">
        <is>
          <t>→</t>
        </is>
      </c>
      <c r="E4" s="4" t="n"/>
      <c r="F4" s="19" t="inlineStr">
        <is>
          <t>→</t>
        </is>
      </c>
      <c r="G4" s="4" t="n"/>
      <c r="H4" s="19" t="inlineStr">
        <is>
          <t>→</t>
        </is>
      </c>
      <c r="I4" s="4" t="n"/>
    </row>
    <row r="5">
      <c r="A5" s="4" t="n"/>
      <c r="C5" s="4" t="n"/>
      <c r="E5" s="4" t="n"/>
      <c r="G5" s="4" t="n"/>
      <c r="I5" s="4" t="n"/>
    </row>
    <row r="8">
      <c r="A8" s="20" t="inlineStr">
        <is>
          <t>Entrées &amp; Sorties par étape</t>
        </is>
      </c>
    </row>
    <row r="9">
      <c r="A9" s="3" t="inlineStr">
        <is>
          <t>Étape</t>
        </is>
      </c>
      <c r="B9" s="3" t="inlineStr">
        <is>
          <t>Entrées (Inputs)</t>
        </is>
      </c>
      <c r="C9" s="3" t="inlineStr">
        <is>
          <t>Sorties (Outputs)</t>
        </is>
      </c>
    </row>
    <row r="10">
      <c r="A10" s="14" t="inlineStr">
        <is>
          <t>Identification</t>
        </is>
      </c>
      <c r="B10" s="14" t="inlineStr">
        <is>
          <t>Incidents, audits, ateliers, SWOT, KRI, carto process</t>
        </is>
      </c>
      <c r="C10" s="14" t="inlineStr">
        <is>
          <t>Registre initial des risques</t>
        </is>
      </c>
    </row>
    <row r="11">
      <c r="A11" s="14" t="inlineStr">
        <is>
          <t>Évaluation</t>
        </is>
      </c>
      <c r="B11" s="14" t="inlineStr">
        <is>
          <t>L/I inhérents, contrôles, efficacité</t>
        </is>
      </c>
      <c r="C11" s="14" t="inlineStr">
        <is>
          <t>Scores inhérents, niveaux, plan d'évaluation résiduelle</t>
        </is>
      </c>
    </row>
    <row r="12">
      <c r="A12" s="14" t="inlineStr">
        <is>
          <t>Traitement</t>
        </is>
      </c>
      <c r="B12" s="14" t="inlineStr">
        <is>
          <t>Stratégie (A/R/T/A), plan d'action</t>
        </is>
      </c>
      <c r="C12" s="14" t="inlineStr">
        <is>
          <t>Scores résiduels, propriétaires, échéances</t>
        </is>
      </c>
    </row>
    <row r="13">
      <c r="A13" s="14" t="inlineStr">
        <is>
          <t>Suivi &amp; Reporting</t>
        </is>
      </c>
      <c r="B13" s="14" t="inlineStr">
        <is>
          <t>Actions, statuts, KPI, incidents</t>
        </is>
      </c>
      <c r="C13" s="14" t="inlineStr">
        <is>
          <t>Rappels, rapports, escalades</t>
        </is>
      </c>
    </row>
    <row r="14">
      <c r="A14" s="14" t="inlineStr">
        <is>
          <t>Réexamen</t>
        </is>
      </c>
      <c r="B14" s="14" t="inlineStr">
        <is>
          <t>Changements, revues périodiques</t>
        </is>
      </c>
      <c r="C14" s="14" t="inlineStr">
        <is>
          <t>Registre à jour, nouvelles priorités</t>
        </is>
      </c>
    </row>
  </sheetData>
  <mergeCells count="7">
    <mergeCell ref="A1:I1"/>
    <mergeCell ref="A3:A5"/>
    <mergeCell ref="C3:C5"/>
    <mergeCell ref="E3:E5"/>
    <mergeCell ref="G3:G5"/>
    <mergeCell ref="I3:I5"/>
    <mergeCell ref="A8:I8"/>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2025-08-15T01:59:43Z</dcterms:created>
  <dcterms:modified xmlns:dcterms="http://purl.org/dc/terms/" xmlns:xsi="http://www.w3.org/2001/XMLSchema-instance" xsi:type="dcterms:W3CDTF">2025-08-15T01:59:43Z</dcterms:modified>
</cp:coreProperties>
</file>