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Couts_Partages" sheetId="2" r:id="rId2"/>
    <sheet name="Taches" sheetId="3" r:id="rId3"/>
    <sheet name="Jalons" sheetId="4" r:id="rId4"/>
    <sheet name="Calendrier" sheetId="5" r:id="rId5"/>
    <sheet name="Synthèse_Dashboard" sheetId="6" r:id="rId6"/>
    <sheet name="Dashboard_Couts_vs_Delais" sheetId="7" r:id="rId7"/>
  </sheets>
  <definedNames>
    <definedName name="AC_Total">'Taches'!$H$22</definedName>
    <definedName name="AC_Total_AvecPartages">AC_Total+Overhead_AC_Total</definedName>
    <definedName name="BAC_Total">'Taches'!$F$22</definedName>
    <definedName name="BAC_Total_AvecPartages">'Taches'!$S$22</definedName>
    <definedName name="CPI_Ambre">Paramètres!$B$19</definedName>
    <definedName name="CPI_Vert">Paramètres!$B$20</definedName>
    <definedName name="Devise">Paramètres!$B$4</definedName>
    <definedName name="Duree_Totale">'Taches'!$J$22</definedName>
    <definedName name="EV_Total">'Taches'!$K$22</definedName>
    <definedName name="Overhead_AC_Total">Couts_Partages!$D$10</definedName>
    <definedName name="Phases">Paramètres!$B$9:$B$16</definedName>
    <definedName name="Projet">Paramètres!$B$3</definedName>
    <definedName name="PV_Total">'Taches'!$M$22</definedName>
    <definedName name="SPI_Ambre">Paramètres!$B$21</definedName>
    <definedName name="SPI_Vert">Paramètres!$B$22</definedName>
    <definedName name="StartDate">Paramètres!$B$5</definedName>
    <definedName name="Weeks">Paramètres!$B$6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<sst xmlns="http://schemas.openxmlformats.org/spreadsheetml/2006/main" count="148" uniqueCount="118">
  <si>
    <t>Paramètres du Modèle – EVM Avancé</t>
  </si>
  <si>
    <t>Projet</t>
  </si>
  <si>
    <t>Projet – Version Avancée</t>
  </si>
  <si>
    <t>Devise</t>
  </si>
  <si>
    <t>MAD</t>
  </si>
  <si>
    <t>Date de début</t>
  </si>
  <si>
    <t>Horizon (semaines)</t>
  </si>
  <si>
    <t>Liste des phases (éditable)</t>
  </si>
  <si>
    <t>Études</t>
  </si>
  <si>
    <t>Conception</t>
  </si>
  <si>
    <t>Approvisionnements</t>
  </si>
  <si>
    <t>Réalisation</t>
  </si>
  <si>
    <t>Tests</t>
  </si>
  <si>
    <t>Formation</t>
  </si>
  <si>
    <t>Déploiement</t>
  </si>
  <si>
    <t>Clôture</t>
  </si>
  <si>
    <t>Seuils d'alerte KPI</t>
  </si>
  <si>
    <t>CPI (ambre)</t>
  </si>
  <si>
    <t>CPI (vert)</t>
  </si>
  <si>
    <t>SPI (ambre)</t>
  </si>
  <si>
    <t>SPI (vert)</t>
  </si>
  <si>
    <t>Astuce</t>
  </si>
  <si>
    <t>Modifiez phases, seuils CPI/SPI et l’horizon. Le modèle s’actualise automatiquement.</t>
  </si>
  <si>
    <t>Coûts Partagés (Overheads)</t>
  </si>
  <si>
    <t>Catégorie</t>
  </si>
  <si>
    <t>Type de répartition</t>
  </si>
  <si>
    <t>Montant (BAC)</t>
  </si>
  <si>
    <t>AC à date (réel)</t>
  </si>
  <si>
    <t>PMO</t>
  </si>
  <si>
    <t>BAC</t>
  </si>
  <si>
    <t>Qualité/QA</t>
  </si>
  <si>
    <t>Licences</t>
  </si>
  <si>
    <t>Infra/Cloud</t>
  </si>
  <si>
    <t>Durée</t>
  </si>
  <si>
    <t>Divers</t>
  </si>
  <si>
    <t>Totaux</t>
  </si>
  <si>
    <t>#</t>
  </si>
  <si>
    <t>Tâche</t>
  </si>
  <si>
    <t>Début</t>
  </si>
  <si>
    <t>Fin</t>
  </si>
  <si>
    <t>Phase</t>
  </si>
  <si>
    <t>BAC (budget)</t>
  </si>
  <si>
    <t>% Avancement</t>
  </si>
  <si>
    <t>AC (réel)</t>
  </si>
  <si>
    <t>Poids %</t>
  </si>
  <si>
    <t>Durée (j)</t>
  </si>
  <si>
    <t>EV</t>
  </si>
  <si>
    <t>% Planifié à date</t>
  </si>
  <si>
    <t>PV à date</t>
  </si>
  <si>
    <t>CV (EV-AC)</t>
  </si>
  <si>
    <t>SV (EV-PV)</t>
  </si>
  <si>
    <t>CPI</t>
  </si>
  <si>
    <t>SPI</t>
  </si>
  <si>
    <t>Alloc partagée (BAC)</t>
  </si>
  <si>
    <t>BAC+Partages</t>
  </si>
  <si>
    <t>Études préliminaires</t>
  </si>
  <si>
    <t>Analyse fonctionnelle</t>
  </si>
  <si>
    <t>Charte projet</t>
  </si>
  <si>
    <t>Architecture</t>
  </si>
  <si>
    <t>Conception détaillée</t>
  </si>
  <si>
    <t>Procurement matériel</t>
  </si>
  <si>
    <t>Dév. module A</t>
  </si>
  <si>
    <t>Dév. module B</t>
  </si>
  <si>
    <t>Intégration A+B</t>
  </si>
  <si>
    <t>Tests unitaires</t>
  </si>
  <si>
    <t>Tests d'intégration</t>
  </si>
  <si>
    <t>Sécurité &amp; conformité</t>
  </si>
  <si>
    <t>Formation pilotes</t>
  </si>
  <si>
    <t>Pilotage UAT</t>
  </si>
  <si>
    <t>Corrections UAT</t>
  </si>
  <si>
    <t>Préparation déploiement</t>
  </si>
  <si>
    <t>Déploiement lot 1</t>
  </si>
  <si>
    <t>Déploiement lot 2</t>
  </si>
  <si>
    <t>Stabilisation</t>
  </si>
  <si>
    <t>Jalons projet (impact PV)</t>
  </si>
  <si>
    <t>Jalon</t>
  </si>
  <si>
    <t>Date</t>
  </si>
  <si>
    <t>Poids PV % (du BAC total)</t>
  </si>
  <si>
    <t>Design validé</t>
  </si>
  <si>
    <t>Matériel livré</t>
  </si>
  <si>
    <t>Fin dev A</t>
  </si>
  <si>
    <t>Fin dev B</t>
  </si>
  <si>
    <t>UAT Go</t>
  </si>
  <si>
    <t>Go-Live</t>
  </si>
  <si>
    <t>Total poids jalons</t>
  </si>
  <si>
    <t>Calendrier détaillé – Distribution PV</t>
  </si>
  <si>
    <t>PV linéaire (cum.)</t>
  </si>
  <si>
    <t>PV jalons (cum.)</t>
  </si>
  <si>
    <t>PV totale (cum.)</t>
  </si>
  <si>
    <t>% PV/BAC</t>
  </si>
  <si>
    <t>PV au jour (Δ)</t>
  </si>
  <si>
    <t>Tableau de bord – EVM Avancé</t>
  </si>
  <si>
    <t>Projet :</t>
  </si>
  <si>
    <t>Devise :</t>
  </si>
  <si>
    <t>BAC (Budget)</t>
  </si>
  <si>
    <t>BAC + Partages</t>
  </si>
  <si>
    <t>EV (Valeur acquise)</t>
  </si>
  <si>
    <t>AC (Réel)</t>
  </si>
  <si>
    <t>AC + Partages</t>
  </si>
  <si>
    <t>PV à date (Tâches)</t>
  </si>
  <si>
    <t>PV (calendrier) aujourdhui</t>
  </si>
  <si>
    <t>EAC (=BAC/CPI)</t>
  </si>
  <si>
    <t>VAC (=BAC-EAC)</t>
  </si>
  <si>
    <t>Seuils CPI/SPI</t>
  </si>
  <si>
    <t>CPI ambre / vert</t>
  </si>
  <si>
    <t>SPI ambre / vert</t>
  </si>
  <si>
    <t>Alerte CPI</t>
  </si>
  <si>
    <t>Alerte SPI</t>
  </si>
  <si>
    <t>Coûts vs Délais – Vision synthétique</t>
  </si>
  <si>
    <t>% Délai (PV/BAC) – aujourd’hui</t>
  </si>
  <si>
    <t>% Coûts engagés (AC/BAC)</t>
  </si>
  <si>
    <t>Écart (Coûts - Délai)</t>
  </si>
  <si>
    <t>Lecture</t>
  </si>
  <si>
    <t>Au-dessus de la diagonale y=x : sur-dépenses vs avancement (à surveiller).</t>
  </si>
  <si>
    <t>Au-dessous : sous-dépenses vs avancement (plutôt bon).</t>
  </si>
  <si>
    <t>X = % Délai</t>
  </si>
  <si>
    <t>Y = % Coût</t>
  </si>
  <si>
    <t>Référence y=x</t>
  </si>
</sst>
</file>

<file path=xl/styles.xml><?xml version="1.0" encoding="utf-8"?>
<styleSheet xmlns="http://schemas.openxmlformats.org/spreadsheetml/2006/main">
  <numFmts count="5">
    <numFmt numFmtId="164" formatCode="yyyy-mm-dd"/>
    <numFmt numFmtId="165" formatCode="0.00%"/>
    <numFmt numFmtId="166" formatCode="#,##0.00"/>
    <numFmt numFmtId="167" formatCode="0%"/>
    <numFmt numFmtId="168" formatCode="0.0%"/>
  </numFmts>
  <fonts count="7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55555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BDEFB"/>
        <bgColor indexed="64"/>
      </patternFill>
    </fill>
    <fill>
      <patternFill patternType="solid">
        <fgColor rgb="FF1565C0"/>
        <bgColor indexed="64"/>
      </patternFill>
    </fill>
    <fill>
      <patternFill patternType="solid">
        <fgColor rgb="FFE3F2FD"/>
        <bgColor indexed="64"/>
      </patternFill>
    </fill>
    <fill>
      <patternFill patternType="solid">
        <fgColor rgb="FFFFF9C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1" fontId="0" fillId="0" borderId="1" xfId="0" applyNumberFormat="1" applyBorder="1"/>
    <xf numFmtId="0" fontId="3" fillId="2" borderId="0" xfId="0" applyFont="1" applyFill="1"/>
    <xf numFmtId="165" fontId="0" fillId="0" borderId="1" xfId="0" applyNumberFormat="1" applyBorder="1"/>
    <xf numFmtId="0" fontId="4" fillId="0" borderId="0" xfId="0" applyFont="1"/>
    <xf numFmtId="0" fontId="5" fillId="3" borderId="1" xfId="0" applyFont="1" applyFill="1" applyBorder="1" applyAlignment="1">
      <alignment horizontal="center" vertical="center"/>
    </xf>
    <xf numFmtId="166" fontId="0" fillId="0" borderId="1" xfId="0" applyNumberFormat="1" applyBorder="1"/>
    <xf numFmtId="0" fontId="3" fillId="4" borderId="1" xfId="0" applyFont="1" applyFill="1" applyBorder="1"/>
    <xf numFmtId="166" fontId="3" fillId="5" borderId="1" xfId="0" applyNumberFormat="1" applyFont="1" applyFill="1" applyBorder="1"/>
    <xf numFmtId="167" fontId="0" fillId="0" borderId="1" xfId="0" applyNumberFormat="1" applyBorder="1"/>
    <xf numFmtId="168" fontId="3" fillId="5" borderId="1" xfId="0" applyNumberFormat="1" applyFont="1" applyFill="1" applyBorder="1"/>
    <xf numFmtId="0" fontId="6" fillId="0" borderId="0" xfId="0" applyFont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3">
    <dxf>
      <font>
        <b/>
        <color rgb="FF2E7D32"/>
      </font>
    </dxf>
    <dxf>
      <font>
        <b/>
        <color rgb="FFF9A825"/>
      </font>
    </dxf>
    <dxf>
      <font>
        <b/>
        <color rgb="FFC62828"/>
      </font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sheetMetadata" Target="metadata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PV / EV / AC – cumulés (calendrier)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PV (cum.) calendrier</c:v>
          </c:tx>
          <c:marker>
            <c:symbol val="none"/>
          </c:marker>
          <c:cat>
            <c:numRef>
              <c:f>Calendrier!$A$4:$A$213</c:f>
              <c:numCache>
                <c:formatCode>General</c:formatCode>
                <c:ptCount val="2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</c:numCache>
            </c:numRef>
          </c:cat>
          <c:val>
            <c:numRef>
              <c:f>Calendrier!$D$4:$D$213</c:f>
              <c:numCache>
                <c:formatCode>General</c:formatCode>
                <c:ptCount val="2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</c:numCache>
            </c:numRef>
          </c:val>
        </c:ser>
        <c:ser>
          <c:idx val="1"/>
          <c:order val="1"/>
          <c:tx>
            <c:v>EV (total à date)</c:v>
          </c:tx>
          <c:marker>
            <c:symbol val="none"/>
          </c:marker>
          <c:cat>
            <c:numRef>
              <c:f>Calendrier!$A$4:$A$213</c:f>
              <c:numCache>
                <c:formatCode>General</c:formatCode>
                <c:ptCount val="2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</c:numCache>
            </c:numRef>
          </c:cat>
          <c:val>
            <c:numRef>
              <c:f>IF(Calendrier!$A$4:$A$213&lt;=TODAY(),EV_Total,NA())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AC (total à date)</c:v>
          </c:tx>
          <c:marker>
            <c:symbol val="none"/>
          </c:marker>
          <c:cat>
            <c:numRef>
              <c:f>Calendrier!$A$4:$A$213</c:f>
              <c:numCache>
                <c:formatCode>General</c:formatCode>
                <c:ptCount val="2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</c:numCache>
            </c:numRef>
          </c:cat>
          <c:val>
            <c:numRef>
              <c:f>IF(Calendrier!$A$4:$A$213&lt;=TODAY(),AC_Total,NA())</c:f>
              <c:numCache>
                <c:formatCode>General</c:formatCode>
                <c:ptCount val="0"/>
              </c:numCache>
            </c:numRef>
          </c:val>
        </c:ser>
        <c:marker val="1"/>
        <c:axId val="50010001"/>
        <c:axId val="50010002"/>
      </c:line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Date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Montants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Positionnement Coûts vs Délais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v>y = x</c:v>
          </c:tx>
          <c:marker>
            <c:symbol val="none"/>
          </c:marker>
          <c:xVal>
            <c:numRef>
              <c:f>Dashboard_Couts_vs_Delais!$C$12:$C$13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xVal>
          <c:yVal>
            <c:numRef>
              <c:f>Dashboard_Couts_vs_Delais!$C$12:$C$13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yVal>
        </c:ser>
        <c:ser>
          <c:idx val="1"/>
          <c:order val="1"/>
          <c:tx>
            <c:v>Projet</c:v>
          </c:tx>
          <c:marker>
            <c:symbol val="circle"/>
            <c:size val="7"/>
          </c:marker>
          <c:xVal>
            <c:numRef>
              <c:f>Dashboard_Couts_vs_Delais!$A$12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Dashboard_Couts_vs_Delais!$B$12</c:f>
              <c:numCache>
                <c:formatCode>General</c:formatCode>
                <c:ptCount val="1"/>
                <c:pt idx="0">
                  <c:v>0</c:v>
                </c:pt>
              </c:numCache>
            </c:numRef>
          </c:yVal>
        </c:ser>
        <c:axId val="50020001"/>
        <c:axId val="50020002"/>
      </c:scatterChart>
      <c:valAx>
        <c:axId val="50020001"/>
        <c:scaling>
          <c:orientation val="minMax"/>
          <c:max val="1"/>
          <c:min val="0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Délai (PV/BAC)</a:t>
                </a:r>
              </a:p>
            </c:rich>
          </c:tx>
          <c:layout/>
        </c:title>
        <c:numFmt formatCode="0%" sourceLinked="0"/>
        <c:tickLblPos val="nextTo"/>
        <c:crossAx val="50020002"/>
        <c:crosses val="autoZero"/>
        <c:crossBetween val="midCat"/>
        <c:majorUnit val="0.1"/>
      </c:valAx>
      <c:valAx>
        <c:axId val="50020002"/>
        <c:scaling>
          <c:orientation val="minMax"/>
          <c:max val="1"/>
          <c:min val="0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% Coût (AC/BAC)</a:t>
                </a:r>
              </a:p>
            </c:rich>
          </c:tx>
          <c:layout/>
        </c:title>
        <c:numFmt formatCode="0%" sourceLinked="0"/>
        <c:tickLblPos val="nextTo"/>
        <c:crossAx val="50020001"/>
        <c:crosses val="autoZero"/>
        <c:crossBetween val="midCat"/>
        <c:majorUnit val="0.1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13</xdr:row>
      <xdr:rowOff>0</xdr:rowOff>
    </xdr:from>
    <xdr:to>
      <xdr:col>9</xdr:col>
      <xdr:colOff>514350</xdr:colOff>
      <xdr:row>31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9</xdr:col>
      <xdr:colOff>552450</xdr:colOff>
      <xdr:row>17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28.7109375" customWidth="1"/>
    <col min="2" max="2" width="42.7109375" customWidth="1"/>
  </cols>
  <sheetData>
    <row r="1" spans="1:2">
      <c r="A1" s="1" t="s">
        <v>0</v>
      </c>
      <c r="B1" s="1"/>
    </row>
    <row r="3" spans="1:2">
      <c r="A3" s="2" t="s">
        <v>1</v>
      </c>
      <c r="B3" s="3" t="s">
        <v>2</v>
      </c>
    </row>
    <row r="4" spans="1:2">
      <c r="A4" s="2" t="s">
        <v>3</v>
      </c>
      <c r="B4" s="4" t="s">
        <v>4</v>
      </c>
    </row>
    <row r="5" spans="1:2">
      <c r="A5" s="2" t="s">
        <v>5</v>
      </c>
      <c r="B5" s="5">
        <v>45895</v>
      </c>
    </row>
    <row r="6" spans="1:2">
      <c r="A6" s="2" t="s">
        <v>6</v>
      </c>
      <c r="B6" s="6">
        <v>16</v>
      </c>
    </row>
    <row r="8" spans="1:2">
      <c r="A8" s="7" t="s">
        <v>7</v>
      </c>
    </row>
    <row r="9" spans="1:2">
      <c r="B9" s="3" t="s">
        <v>8</v>
      </c>
    </row>
    <row r="10" spans="1:2">
      <c r="B10" s="3" t="s">
        <v>9</v>
      </c>
    </row>
    <row r="11" spans="1:2">
      <c r="B11" s="3" t="s">
        <v>10</v>
      </c>
    </row>
    <row r="12" spans="1:2">
      <c r="B12" s="3" t="s">
        <v>11</v>
      </c>
    </row>
    <row r="13" spans="1:2">
      <c r="B13" s="3" t="s">
        <v>12</v>
      </c>
    </row>
    <row r="14" spans="1:2">
      <c r="B14" s="3" t="s">
        <v>13</v>
      </c>
    </row>
    <row r="15" spans="1:2">
      <c r="B15" s="3" t="s">
        <v>14</v>
      </c>
    </row>
    <row r="16" spans="1:2">
      <c r="B16" s="3" t="s">
        <v>15</v>
      </c>
    </row>
    <row r="18" spans="1:2">
      <c r="A18" s="7" t="s">
        <v>16</v>
      </c>
    </row>
    <row r="19" spans="1:2">
      <c r="A19" s="2" t="s">
        <v>17</v>
      </c>
      <c r="B19" s="8">
        <v>0.95</v>
      </c>
    </row>
    <row r="20" spans="1:2">
      <c r="A20" s="2" t="s">
        <v>18</v>
      </c>
      <c r="B20" s="8">
        <v>1</v>
      </c>
    </row>
    <row r="21" spans="1:2">
      <c r="A21" s="2" t="s">
        <v>19</v>
      </c>
      <c r="B21" s="8">
        <v>0.95</v>
      </c>
    </row>
    <row r="22" spans="1:2">
      <c r="A22" s="2" t="s">
        <v>20</v>
      </c>
      <c r="B22" s="8">
        <v>1</v>
      </c>
    </row>
    <row r="24" spans="1:2">
      <c r="A24" s="7" t="s">
        <v>21</v>
      </c>
    </row>
    <row r="25" spans="1:2">
      <c r="A25" s="9" t="s">
        <v>22</v>
      </c>
    </row>
  </sheetData>
  <mergeCells count="1">
    <mergeCell ref="A1:B1"/>
  </mergeCells>
  <dataValidations count="1">
    <dataValidation type="list" allowBlank="1" showInputMessage="1" showErrorMessage="1" sqref="B4">
      <formula1>"MAD,EUR,USD"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0"/>
  <sheetViews>
    <sheetView workbookViewId="0"/>
  </sheetViews>
  <sheetFormatPr defaultRowHeight="15"/>
  <cols>
    <col min="1" max="1" width="30.7109375" customWidth="1"/>
    <col min="2" max="4" width="20.7109375" customWidth="1"/>
  </cols>
  <sheetData>
    <row r="1" spans="1:4">
      <c r="A1" s="1" t="s">
        <v>23</v>
      </c>
      <c r="B1" s="1"/>
      <c r="C1" s="1"/>
      <c r="D1" s="1"/>
    </row>
    <row r="3" spans="1:4">
      <c r="A3" s="10" t="s">
        <v>24</v>
      </c>
      <c r="B3" s="10" t="s">
        <v>25</v>
      </c>
      <c r="C3" s="10" t="s">
        <v>26</v>
      </c>
      <c r="D3" s="10" t="s">
        <v>27</v>
      </c>
    </row>
    <row r="4" spans="1:4">
      <c r="A4" s="3" t="s">
        <v>28</v>
      </c>
      <c r="B4" s="4" t="s">
        <v>29</v>
      </c>
      <c r="C4" s="11">
        <v>20000</v>
      </c>
      <c r="D4" s="11">
        <v>5000</v>
      </c>
    </row>
    <row r="5" spans="1:4">
      <c r="A5" s="3" t="s">
        <v>30</v>
      </c>
      <c r="B5" s="4" t="s">
        <v>29</v>
      </c>
      <c r="C5" s="11">
        <v>12000</v>
      </c>
      <c r="D5" s="11">
        <v>3000</v>
      </c>
    </row>
    <row r="6" spans="1:4">
      <c r="A6" s="3" t="s">
        <v>31</v>
      </c>
      <c r="B6" s="4" t="s">
        <v>29</v>
      </c>
      <c r="C6" s="11">
        <v>15000</v>
      </c>
      <c r="D6" s="11">
        <v>8000</v>
      </c>
    </row>
    <row r="7" spans="1:4">
      <c r="A7" s="3" t="s">
        <v>32</v>
      </c>
      <c r="B7" s="4" t="s">
        <v>33</v>
      </c>
      <c r="C7" s="11">
        <v>18000</v>
      </c>
      <c r="D7" s="11">
        <v>6000</v>
      </c>
    </row>
    <row r="8" spans="1:4">
      <c r="A8" s="3" t="s">
        <v>34</v>
      </c>
      <c r="B8" s="4" t="s">
        <v>29</v>
      </c>
      <c r="C8" s="11">
        <v>8000</v>
      </c>
      <c r="D8" s="11">
        <v>2000</v>
      </c>
    </row>
    <row r="10" spans="1:4">
      <c r="A10" s="12" t="s">
        <v>35</v>
      </c>
      <c r="C10" s="13">
        <f>SUM(C4:C8)</f>
        <v>0</v>
      </c>
      <c r="D10" s="13">
        <f>SUM(D4:D8)</f>
        <v>0</v>
      </c>
    </row>
  </sheetData>
  <mergeCells count="1">
    <mergeCell ref="A1:D1"/>
  </mergeCells>
  <dataValidations count="5">
    <dataValidation type="list" allowBlank="1" showInputMessage="1" showErrorMessage="1" sqref="B4">
      <formula1>"BAC,Durée"</formula1>
    </dataValidation>
    <dataValidation type="list" allowBlank="1" showInputMessage="1" showErrorMessage="1" sqref="B5">
      <formula1>"BAC,Durée"</formula1>
    </dataValidation>
    <dataValidation type="list" allowBlank="1" showInputMessage="1" showErrorMessage="1" sqref="B6">
      <formula1>"BAC,Durée"</formula1>
    </dataValidation>
    <dataValidation type="list" allowBlank="1" showInputMessage="1" showErrorMessage="1" sqref="B7">
      <formula1>"BAC,Durée"</formula1>
    </dataValidation>
    <dataValidation type="list" allowBlank="1" showInputMessage="1" showErrorMessage="1" sqref="B8">
      <formula1>"BAC,Durée"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S22"/>
  <sheetViews>
    <sheetView zoomScale="110" zoomScaleNormal="110"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defaultRowHeight="15"/>
  <cols>
    <col min="1" max="1" width="4.7109375" customWidth="1"/>
    <col min="2" max="2" width="26.7109375" customWidth="1"/>
    <col min="3" max="4" width="12.7109375" customWidth="1"/>
    <col min="5" max="5" width="16.7109375" customWidth="1"/>
    <col min="6" max="6" width="14.7109375" customWidth="1"/>
    <col min="7" max="7" width="16.7109375" customWidth="1"/>
    <col min="8" max="8" width="12.7109375" customWidth="1"/>
    <col min="9" max="14" width="16.7109375" customWidth="1"/>
    <col min="15" max="16" width="14.7109375" customWidth="1"/>
  </cols>
  <sheetData>
    <row r="1" spans="1:19">
      <c r="A1" s="10" t="s">
        <v>36</v>
      </c>
      <c r="B1" s="10" t="s">
        <v>37</v>
      </c>
      <c r="C1" s="10" t="s">
        <v>38</v>
      </c>
      <c r="D1" s="10" t="s">
        <v>39</v>
      </c>
      <c r="E1" s="10" t="s">
        <v>40</v>
      </c>
      <c r="F1" s="10" t="s">
        <v>41</v>
      </c>
      <c r="G1" s="10" t="s">
        <v>42</v>
      </c>
      <c r="H1" s="10" t="s">
        <v>43</v>
      </c>
      <c r="I1" s="10" t="s">
        <v>44</v>
      </c>
      <c r="J1" s="10" t="s">
        <v>45</v>
      </c>
      <c r="K1" s="10" t="s">
        <v>46</v>
      </c>
      <c r="L1" s="10" t="s">
        <v>47</v>
      </c>
      <c r="M1" s="10" t="s">
        <v>48</v>
      </c>
      <c r="N1" s="10" t="s">
        <v>49</v>
      </c>
      <c r="O1" s="10" t="s">
        <v>50</v>
      </c>
      <c r="P1" s="10" t="s">
        <v>51</v>
      </c>
      <c r="Q1" s="10" t="s">
        <v>52</v>
      </c>
      <c r="R1" s="10" t="s">
        <v>53</v>
      </c>
      <c r="S1" s="10" t="s">
        <v>54</v>
      </c>
    </row>
    <row r="2" spans="1:19">
      <c r="A2" s="4">
        <v>1</v>
      </c>
      <c r="B2" s="3" t="s">
        <v>55</v>
      </c>
      <c r="C2" s="5">
        <v>45895</v>
      </c>
      <c r="D2" s="5">
        <v>45908</v>
      </c>
      <c r="E2" s="4" t="s">
        <v>8</v>
      </c>
      <c r="F2" s="11">
        <v>17000</v>
      </c>
      <c r="G2" s="4">
        <v>9</v>
      </c>
      <c r="H2" s="11">
        <f>F2*G2/100*(1+(-0.05+0.10*RAND()))</f>
        <v>0</v>
      </c>
      <c r="I2" s="14">
        <f>IF(SUM($F$2:$F$21)=0,"",F2/SUM($F$2:$F$21))</f>
        <v>0</v>
      </c>
      <c r="J2" s="6">
        <f>D2-C2+1</f>
        <v>0</v>
      </c>
      <c r="K2" s="11">
        <f>F2*G2/100</f>
        <v>0</v>
      </c>
      <c r="L2" s="14">
        <f>MAX(0,MIN(1,(TODAY()-C2+1)/(D2-C2+1)))</f>
        <v>0</v>
      </c>
      <c r="M2" s="11">
        <f>F2*L2</f>
        <v>0</v>
      </c>
      <c r="N2" s="11">
        <f>K2-H2</f>
        <v>0</v>
      </c>
      <c r="O2" s="11">
        <f>K2-M2</f>
        <v>0</v>
      </c>
      <c r="P2" s="11">
        <f>IF(H2=0,"",K2/H2)</f>
        <v>0</v>
      </c>
      <c r="Q2" s="11">
        <f>IF(M2=0,"",K2/M2)</f>
        <v>0</v>
      </c>
      <c r="R2" s="11">
        <f>SUM(IF(Couts_Partages!$B$4="BAC",Couts_Partages!$C$4*I2,Couts_Partages!$C$4*J2/SUM($J$2:$J$21)),IF(Couts_Partages!$B$5="BAC",Couts_Partages!$C$5*I2,Couts_Partages!$C$5*J2/SUM($J$2:$J$21)),IF(Couts_Partages!$B$6="BAC",Couts_Partages!$C$6*I2,Couts_Partages!$C$6*J2/SUM($J$2:$J$21)),IF(Couts_Partages!$B$7="BAC",Couts_Partages!$C$7*I2,Couts_Partages!$C$7*J2/SUM($J$2:$J$21)),IF(Couts_Partages!$B$8="BAC",Couts_Partages!$C$8*I2,Couts_Partages!$C$8*J2/SUM($J$2:$J$21)))</f>
        <v>0</v>
      </c>
      <c r="S2" s="11">
        <f>F2+R2</f>
        <v>0</v>
      </c>
    </row>
    <row r="3" spans="1:19">
      <c r="A3" s="4">
        <v>2</v>
      </c>
      <c r="B3" s="3" t="s">
        <v>56</v>
      </c>
      <c r="C3" s="5">
        <v>45895</v>
      </c>
      <c r="D3" s="5">
        <v>45915</v>
      </c>
      <c r="E3" s="4" t="s">
        <v>8</v>
      </c>
      <c r="F3" s="11">
        <v>22000</v>
      </c>
      <c r="G3" s="4">
        <v>13</v>
      </c>
      <c r="H3" s="11">
        <f>F3*G3/100*(1+(-0.05+0.10*RAND()))</f>
        <v>0</v>
      </c>
      <c r="I3" s="14">
        <f>IF(SUM($F$2:$F$21)=0,"",F3/SUM($F$2:$F$21))</f>
        <v>0</v>
      </c>
      <c r="J3" s="6">
        <f>D3-C3+1</f>
        <v>0</v>
      </c>
      <c r="K3" s="11">
        <f>F3*G3/100</f>
        <v>0</v>
      </c>
      <c r="L3" s="14">
        <f>MAX(0,MIN(1,(TODAY()-C3+1)/(D3-C3+1)))</f>
        <v>0</v>
      </c>
      <c r="M3" s="11">
        <f>F3*L3</f>
        <v>0</v>
      </c>
      <c r="N3" s="11">
        <f>K3-H3</f>
        <v>0</v>
      </c>
      <c r="O3" s="11">
        <f>K3-M3</f>
        <v>0</v>
      </c>
      <c r="P3" s="11">
        <f>IF(H3=0,"",K3/H3)</f>
        <v>0</v>
      </c>
      <c r="Q3" s="11">
        <f>IF(M3=0,"",K3/M3)</f>
        <v>0</v>
      </c>
      <c r="R3" s="11">
        <f>SUM(IF(Couts_Partages!$B$4="BAC",Couts_Partages!$C$4*I3,Couts_Partages!$C$4*J3/SUM($J$2:$J$21)),IF(Couts_Partages!$B$5="BAC",Couts_Partages!$C$5*I3,Couts_Partages!$C$5*J3/SUM($J$2:$J$21)),IF(Couts_Partages!$B$6="BAC",Couts_Partages!$C$6*I3,Couts_Partages!$C$6*J3/SUM($J$2:$J$21)),IF(Couts_Partages!$B$7="BAC",Couts_Partages!$C$7*I3,Couts_Partages!$C$7*J3/SUM($J$2:$J$21)),IF(Couts_Partages!$B$8="BAC",Couts_Partages!$C$8*I3,Couts_Partages!$C$8*J3/SUM($J$2:$J$21)))</f>
        <v>0</v>
      </c>
      <c r="S3" s="11">
        <f>F3+R3</f>
        <v>0</v>
      </c>
    </row>
    <row r="4" spans="1:19">
      <c r="A4" s="4">
        <v>3</v>
      </c>
      <c r="B4" s="3" t="s">
        <v>57</v>
      </c>
      <c r="C4" s="5">
        <v>45902</v>
      </c>
      <c r="D4" s="5">
        <v>45929</v>
      </c>
      <c r="E4" s="4" t="s">
        <v>8</v>
      </c>
      <c r="F4" s="11">
        <v>27000</v>
      </c>
      <c r="G4" s="4">
        <v>17</v>
      </c>
      <c r="H4" s="11">
        <f>F4*G4/100*(1+(-0.05+0.10*RAND()))</f>
        <v>0</v>
      </c>
      <c r="I4" s="14">
        <f>IF(SUM($F$2:$F$21)=0,"",F4/SUM($F$2:$F$21))</f>
        <v>0</v>
      </c>
      <c r="J4" s="6">
        <f>D4-C4+1</f>
        <v>0</v>
      </c>
      <c r="K4" s="11">
        <f>F4*G4/100</f>
        <v>0</v>
      </c>
      <c r="L4" s="14">
        <f>MAX(0,MIN(1,(TODAY()-C4+1)/(D4-C4+1)))</f>
        <v>0</v>
      </c>
      <c r="M4" s="11">
        <f>F4*L4</f>
        <v>0</v>
      </c>
      <c r="N4" s="11">
        <f>K4-H4</f>
        <v>0</v>
      </c>
      <c r="O4" s="11">
        <f>K4-M4</f>
        <v>0</v>
      </c>
      <c r="P4" s="11">
        <f>IF(H4=0,"",K4/H4)</f>
        <v>0</v>
      </c>
      <c r="Q4" s="11">
        <f>IF(M4=0,"",K4/M4)</f>
        <v>0</v>
      </c>
      <c r="R4" s="11">
        <f>SUM(IF(Couts_Partages!$B$4="BAC",Couts_Partages!$C$4*I4,Couts_Partages!$C$4*J4/SUM($J$2:$J$21)),IF(Couts_Partages!$B$5="BAC",Couts_Partages!$C$5*I4,Couts_Partages!$C$5*J4/SUM($J$2:$J$21)),IF(Couts_Partages!$B$6="BAC",Couts_Partages!$C$6*I4,Couts_Partages!$C$6*J4/SUM($J$2:$J$21)),IF(Couts_Partages!$B$7="BAC",Couts_Partages!$C$7*I4,Couts_Partages!$C$7*J4/SUM($J$2:$J$21)),IF(Couts_Partages!$B$8="BAC",Couts_Partages!$C$8*I4,Couts_Partages!$C$8*J4/SUM($J$2:$J$21)))</f>
        <v>0</v>
      </c>
      <c r="S4" s="11">
        <f>F4+R4</f>
        <v>0</v>
      </c>
    </row>
    <row r="5" spans="1:19">
      <c r="A5" s="4">
        <v>4</v>
      </c>
      <c r="B5" s="3" t="s">
        <v>58</v>
      </c>
      <c r="C5" s="5">
        <v>45902</v>
      </c>
      <c r="D5" s="5">
        <v>45908</v>
      </c>
      <c r="E5" s="4" t="s">
        <v>9</v>
      </c>
      <c r="F5" s="11">
        <v>32000</v>
      </c>
      <c r="G5" s="4">
        <v>21</v>
      </c>
      <c r="H5" s="11">
        <f>F5*G5/100*(1+(-0.05+0.10*RAND()))</f>
        <v>0</v>
      </c>
      <c r="I5" s="14">
        <f>IF(SUM($F$2:$F$21)=0,"",F5/SUM($F$2:$F$21))</f>
        <v>0</v>
      </c>
      <c r="J5" s="6">
        <f>D5-C5+1</f>
        <v>0</v>
      </c>
      <c r="K5" s="11">
        <f>F5*G5/100</f>
        <v>0</v>
      </c>
      <c r="L5" s="14">
        <f>MAX(0,MIN(1,(TODAY()-C5+1)/(D5-C5+1)))</f>
        <v>0</v>
      </c>
      <c r="M5" s="11">
        <f>F5*L5</f>
        <v>0</v>
      </c>
      <c r="N5" s="11">
        <f>K5-H5</f>
        <v>0</v>
      </c>
      <c r="O5" s="11">
        <f>K5-M5</f>
        <v>0</v>
      </c>
      <c r="P5" s="11">
        <f>IF(H5=0,"",K5/H5)</f>
        <v>0</v>
      </c>
      <c r="Q5" s="11">
        <f>IF(M5=0,"",K5/M5)</f>
        <v>0</v>
      </c>
      <c r="R5" s="11">
        <f>SUM(IF(Couts_Partages!$B$4="BAC",Couts_Partages!$C$4*I5,Couts_Partages!$C$4*J5/SUM($J$2:$J$21)),IF(Couts_Partages!$B$5="BAC",Couts_Partages!$C$5*I5,Couts_Partages!$C$5*J5/SUM($J$2:$J$21)),IF(Couts_Partages!$B$6="BAC",Couts_Partages!$C$6*I5,Couts_Partages!$C$6*J5/SUM($J$2:$J$21)),IF(Couts_Partages!$B$7="BAC",Couts_Partages!$C$7*I5,Couts_Partages!$C$7*J5/SUM($J$2:$J$21)),IF(Couts_Partages!$B$8="BAC",Couts_Partages!$C$8*I5,Couts_Partages!$C$8*J5/SUM($J$2:$J$21)))</f>
        <v>0</v>
      </c>
      <c r="S5" s="11">
        <f>F5+R5</f>
        <v>0</v>
      </c>
    </row>
    <row r="6" spans="1:19">
      <c r="A6" s="4">
        <v>5</v>
      </c>
      <c r="B6" s="3" t="s">
        <v>59</v>
      </c>
      <c r="C6" s="5">
        <v>45909</v>
      </c>
      <c r="D6" s="5">
        <v>45922</v>
      </c>
      <c r="E6" s="4" t="s">
        <v>9</v>
      </c>
      <c r="F6" s="11">
        <v>37000</v>
      </c>
      <c r="G6" s="4">
        <v>25</v>
      </c>
      <c r="H6" s="11">
        <f>F6*G6/100*(1+(-0.05+0.10*RAND()))</f>
        <v>0</v>
      </c>
      <c r="I6" s="14">
        <f>IF(SUM($F$2:$F$21)=0,"",F6/SUM($F$2:$F$21))</f>
        <v>0</v>
      </c>
      <c r="J6" s="6">
        <f>D6-C6+1</f>
        <v>0</v>
      </c>
      <c r="K6" s="11">
        <f>F6*G6/100</f>
        <v>0</v>
      </c>
      <c r="L6" s="14">
        <f>MAX(0,MIN(1,(TODAY()-C6+1)/(D6-C6+1)))</f>
        <v>0</v>
      </c>
      <c r="M6" s="11">
        <f>F6*L6</f>
        <v>0</v>
      </c>
      <c r="N6" s="11">
        <f>K6-H6</f>
        <v>0</v>
      </c>
      <c r="O6" s="11">
        <f>K6-M6</f>
        <v>0</v>
      </c>
      <c r="P6" s="11">
        <f>IF(H6=0,"",K6/H6)</f>
        <v>0</v>
      </c>
      <c r="Q6" s="11">
        <f>IF(M6=0,"",K6/M6)</f>
        <v>0</v>
      </c>
      <c r="R6" s="11">
        <f>SUM(IF(Couts_Partages!$B$4="BAC",Couts_Partages!$C$4*I6,Couts_Partages!$C$4*J6/SUM($J$2:$J$21)),IF(Couts_Partages!$B$5="BAC",Couts_Partages!$C$5*I6,Couts_Partages!$C$5*J6/SUM($J$2:$J$21)),IF(Couts_Partages!$B$6="BAC",Couts_Partages!$C$6*I6,Couts_Partages!$C$6*J6/SUM($J$2:$J$21)),IF(Couts_Partages!$B$7="BAC",Couts_Partages!$C$7*I6,Couts_Partages!$C$7*J6/SUM($J$2:$J$21)),IF(Couts_Partages!$B$8="BAC",Couts_Partages!$C$8*I6,Couts_Partages!$C$8*J6/SUM($J$2:$J$21)))</f>
        <v>0</v>
      </c>
      <c r="S6" s="11">
        <f>F6+R6</f>
        <v>0</v>
      </c>
    </row>
    <row r="7" spans="1:19">
      <c r="A7" s="4">
        <v>6</v>
      </c>
      <c r="B7" s="3" t="s">
        <v>60</v>
      </c>
      <c r="C7" s="5">
        <v>45909</v>
      </c>
      <c r="D7" s="5">
        <v>45929</v>
      </c>
      <c r="E7" s="4" t="s">
        <v>9</v>
      </c>
      <c r="F7" s="11">
        <v>12000</v>
      </c>
      <c r="G7" s="4">
        <v>29</v>
      </c>
      <c r="H7" s="11">
        <f>F7*G7/100*(1+(-0.05+0.10*RAND()))</f>
        <v>0</v>
      </c>
      <c r="I7" s="14">
        <f>IF(SUM($F$2:$F$21)=0,"",F7/SUM($F$2:$F$21))</f>
        <v>0</v>
      </c>
      <c r="J7" s="6">
        <f>D7-C7+1</f>
        <v>0</v>
      </c>
      <c r="K7" s="11">
        <f>F7*G7/100</f>
        <v>0</v>
      </c>
      <c r="L7" s="14">
        <f>MAX(0,MIN(1,(TODAY()-C7+1)/(D7-C7+1)))</f>
        <v>0</v>
      </c>
      <c r="M7" s="11">
        <f>F7*L7</f>
        <v>0</v>
      </c>
      <c r="N7" s="11">
        <f>K7-H7</f>
        <v>0</v>
      </c>
      <c r="O7" s="11">
        <f>K7-M7</f>
        <v>0</v>
      </c>
      <c r="P7" s="11">
        <f>IF(H7=0,"",K7/H7)</f>
        <v>0</v>
      </c>
      <c r="Q7" s="11">
        <f>IF(M7=0,"",K7/M7)</f>
        <v>0</v>
      </c>
      <c r="R7" s="11">
        <f>SUM(IF(Couts_Partages!$B$4="BAC",Couts_Partages!$C$4*I7,Couts_Partages!$C$4*J7/SUM($J$2:$J$21)),IF(Couts_Partages!$B$5="BAC",Couts_Partages!$C$5*I7,Couts_Partages!$C$5*J7/SUM($J$2:$J$21)),IF(Couts_Partages!$B$6="BAC",Couts_Partages!$C$6*I7,Couts_Partages!$C$6*J7/SUM($J$2:$J$21)),IF(Couts_Partages!$B$7="BAC",Couts_Partages!$C$7*I7,Couts_Partages!$C$7*J7/SUM($J$2:$J$21)),IF(Couts_Partages!$B$8="BAC",Couts_Partages!$C$8*I7,Couts_Partages!$C$8*J7/SUM($J$2:$J$21)))</f>
        <v>0</v>
      </c>
      <c r="S7" s="11">
        <f>F7+R7</f>
        <v>0</v>
      </c>
    </row>
    <row r="8" spans="1:19">
      <c r="A8" s="4">
        <v>7</v>
      </c>
      <c r="B8" s="3" t="s">
        <v>61</v>
      </c>
      <c r="C8" s="5">
        <v>45916</v>
      </c>
      <c r="D8" s="5">
        <v>45943</v>
      </c>
      <c r="E8" s="4" t="s">
        <v>10</v>
      </c>
      <c r="F8" s="11">
        <v>17000</v>
      </c>
      <c r="G8" s="4">
        <v>33</v>
      </c>
      <c r="H8" s="11">
        <f>F8*G8/100*(1+(-0.05+0.10*RAND()))</f>
        <v>0</v>
      </c>
      <c r="I8" s="14">
        <f>IF(SUM($F$2:$F$21)=0,"",F8/SUM($F$2:$F$21))</f>
        <v>0</v>
      </c>
      <c r="J8" s="6">
        <f>D8-C8+1</f>
        <v>0</v>
      </c>
      <c r="K8" s="11">
        <f>F8*G8/100</f>
        <v>0</v>
      </c>
      <c r="L8" s="14">
        <f>MAX(0,MIN(1,(TODAY()-C8+1)/(D8-C8+1)))</f>
        <v>0</v>
      </c>
      <c r="M8" s="11">
        <f>F8*L8</f>
        <v>0</v>
      </c>
      <c r="N8" s="11">
        <f>K8-H8</f>
        <v>0</v>
      </c>
      <c r="O8" s="11">
        <f>K8-M8</f>
        <v>0</v>
      </c>
      <c r="P8" s="11">
        <f>IF(H8=0,"",K8/H8)</f>
        <v>0</v>
      </c>
      <c r="Q8" s="11">
        <f>IF(M8=0,"",K8/M8)</f>
        <v>0</v>
      </c>
      <c r="R8" s="11">
        <f>SUM(IF(Couts_Partages!$B$4="BAC",Couts_Partages!$C$4*I8,Couts_Partages!$C$4*J8/SUM($J$2:$J$21)),IF(Couts_Partages!$B$5="BAC",Couts_Partages!$C$5*I8,Couts_Partages!$C$5*J8/SUM($J$2:$J$21)),IF(Couts_Partages!$B$6="BAC",Couts_Partages!$C$6*I8,Couts_Partages!$C$6*J8/SUM($J$2:$J$21)),IF(Couts_Partages!$B$7="BAC",Couts_Partages!$C$7*I8,Couts_Partages!$C$7*J8/SUM($J$2:$J$21)),IF(Couts_Partages!$B$8="BAC",Couts_Partages!$C$8*I8,Couts_Partages!$C$8*J8/SUM($J$2:$J$21)))</f>
        <v>0</v>
      </c>
      <c r="S8" s="11">
        <f>F8+R8</f>
        <v>0</v>
      </c>
    </row>
    <row r="9" spans="1:19">
      <c r="A9" s="4">
        <v>8</v>
      </c>
      <c r="B9" s="3" t="s">
        <v>62</v>
      </c>
      <c r="C9" s="5">
        <v>45916</v>
      </c>
      <c r="D9" s="5">
        <v>45922</v>
      </c>
      <c r="E9" s="4" t="s">
        <v>10</v>
      </c>
      <c r="F9" s="11">
        <v>22000</v>
      </c>
      <c r="G9" s="4">
        <v>37</v>
      </c>
      <c r="H9" s="11">
        <f>F9*G9/100*(1+(-0.05+0.10*RAND()))</f>
        <v>0</v>
      </c>
      <c r="I9" s="14">
        <f>IF(SUM($F$2:$F$21)=0,"",F9/SUM($F$2:$F$21))</f>
        <v>0</v>
      </c>
      <c r="J9" s="6">
        <f>D9-C9+1</f>
        <v>0</v>
      </c>
      <c r="K9" s="11">
        <f>F9*G9/100</f>
        <v>0</v>
      </c>
      <c r="L9" s="14">
        <f>MAX(0,MIN(1,(TODAY()-C9+1)/(D9-C9+1)))</f>
        <v>0</v>
      </c>
      <c r="M9" s="11">
        <f>F9*L9</f>
        <v>0</v>
      </c>
      <c r="N9" s="11">
        <f>K9-H9</f>
        <v>0</v>
      </c>
      <c r="O9" s="11">
        <f>K9-M9</f>
        <v>0</v>
      </c>
      <c r="P9" s="11">
        <f>IF(H9=0,"",K9/H9)</f>
        <v>0</v>
      </c>
      <c r="Q9" s="11">
        <f>IF(M9=0,"",K9/M9)</f>
        <v>0</v>
      </c>
      <c r="R9" s="11">
        <f>SUM(IF(Couts_Partages!$B$4="BAC",Couts_Partages!$C$4*I9,Couts_Partages!$C$4*J9/SUM($J$2:$J$21)),IF(Couts_Partages!$B$5="BAC",Couts_Partages!$C$5*I9,Couts_Partages!$C$5*J9/SUM($J$2:$J$21)),IF(Couts_Partages!$B$6="BAC",Couts_Partages!$C$6*I9,Couts_Partages!$C$6*J9/SUM($J$2:$J$21)),IF(Couts_Partages!$B$7="BAC",Couts_Partages!$C$7*I9,Couts_Partages!$C$7*J9/SUM($J$2:$J$21)),IF(Couts_Partages!$B$8="BAC",Couts_Partages!$C$8*I9,Couts_Partages!$C$8*J9/SUM($J$2:$J$21)))</f>
        <v>0</v>
      </c>
      <c r="S9" s="11">
        <f>F9+R9</f>
        <v>0</v>
      </c>
    </row>
    <row r="10" spans="1:19">
      <c r="A10" s="4">
        <v>9</v>
      </c>
      <c r="B10" s="3" t="s">
        <v>63</v>
      </c>
      <c r="C10" s="5">
        <v>45923</v>
      </c>
      <c r="D10" s="5">
        <v>45936</v>
      </c>
      <c r="E10" s="4" t="s">
        <v>10</v>
      </c>
      <c r="F10" s="11">
        <v>27000</v>
      </c>
      <c r="G10" s="4">
        <v>41</v>
      </c>
      <c r="H10" s="11">
        <f>F10*G10/100*(1+(-0.05+0.10*RAND()))</f>
        <v>0</v>
      </c>
      <c r="I10" s="14">
        <f>IF(SUM($F$2:$F$21)=0,"",F10/SUM($F$2:$F$21))</f>
        <v>0</v>
      </c>
      <c r="J10" s="6">
        <f>D10-C10+1</f>
        <v>0</v>
      </c>
      <c r="K10" s="11">
        <f>F10*G10/100</f>
        <v>0</v>
      </c>
      <c r="L10" s="14">
        <f>MAX(0,MIN(1,(TODAY()-C10+1)/(D10-C10+1)))</f>
        <v>0</v>
      </c>
      <c r="M10" s="11">
        <f>F10*L10</f>
        <v>0</v>
      </c>
      <c r="N10" s="11">
        <f>K10-H10</f>
        <v>0</v>
      </c>
      <c r="O10" s="11">
        <f>K10-M10</f>
        <v>0</v>
      </c>
      <c r="P10" s="11">
        <f>IF(H10=0,"",K10/H10)</f>
        <v>0</v>
      </c>
      <c r="Q10" s="11">
        <f>IF(M10=0,"",K10/M10)</f>
        <v>0</v>
      </c>
      <c r="R10" s="11">
        <f>SUM(IF(Couts_Partages!$B$4="BAC",Couts_Partages!$C$4*I10,Couts_Partages!$C$4*J10/SUM($J$2:$J$21)),IF(Couts_Partages!$B$5="BAC",Couts_Partages!$C$5*I10,Couts_Partages!$C$5*J10/SUM($J$2:$J$21)),IF(Couts_Partages!$B$6="BAC",Couts_Partages!$C$6*I10,Couts_Partages!$C$6*J10/SUM($J$2:$J$21)),IF(Couts_Partages!$B$7="BAC",Couts_Partages!$C$7*I10,Couts_Partages!$C$7*J10/SUM($J$2:$J$21)),IF(Couts_Partages!$B$8="BAC",Couts_Partages!$C$8*I10,Couts_Partages!$C$8*J10/SUM($J$2:$J$21)))</f>
        <v>0</v>
      </c>
      <c r="S10" s="11">
        <f>F10+R10</f>
        <v>0</v>
      </c>
    </row>
    <row r="11" spans="1:19">
      <c r="A11" s="4">
        <v>10</v>
      </c>
      <c r="B11" s="3" t="s">
        <v>64</v>
      </c>
      <c r="C11" s="5">
        <v>45923</v>
      </c>
      <c r="D11" s="5">
        <v>45943</v>
      </c>
      <c r="E11" s="4" t="s">
        <v>11</v>
      </c>
      <c r="F11" s="11">
        <v>32000</v>
      </c>
      <c r="G11" s="4">
        <v>45</v>
      </c>
      <c r="H11" s="11">
        <f>F11*G11/100*(1+(-0.05+0.10*RAND()))</f>
        <v>0</v>
      </c>
      <c r="I11" s="14">
        <f>IF(SUM($F$2:$F$21)=0,"",F11/SUM($F$2:$F$21))</f>
        <v>0</v>
      </c>
      <c r="J11" s="6">
        <f>D11-C11+1</f>
        <v>0</v>
      </c>
      <c r="K11" s="11">
        <f>F11*G11/100</f>
        <v>0</v>
      </c>
      <c r="L11" s="14">
        <f>MAX(0,MIN(1,(TODAY()-C11+1)/(D11-C11+1)))</f>
        <v>0</v>
      </c>
      <c r="M11" s="11">
        <f>F11*L11</f>
        <v>0</v>
      </c>
      <c r="N11" s="11">
        <f>K11-H11</f>
        <v>0</v>
      </c>
      <c r="O11" s="11">
        <f>K11-M11</f>
        <v>0</v>
      </c>
      <c r="P11" s="11">
        <f>IF(H11=0,"",K11/H11)</f>
        <v>0</v>
      </c>
      <c r="Q11" s="11">
        <f>IF(M11=0,"",K11/M11)</f>
        <v>0</v>
      </c>
      <c r="R11" s="11">
        <f>SUM(IF(Couts_Partages!$B$4="BAC",Couts_Partages!$C$4*I11,Couts_Partages!$C$4*J11/SUM($J$2:$J$21)),IF(Couts_Partages!$B$5="BAC",Couts_Partages!$C$5*I11,Couts_Partages!$C$5*J11/SUM($J$2:$J$21)),IF(Couts_Partages!$B$6="BAC",Couts_Partages!$C$6*I11,Couts_Partages!$C$6*J11/SUM($J$2:$J$21)),IF(Couts_Partages!$B$7="BAC",Couts_Partages!$C$7*I11,Couts_Partages!$C$7*J11/SUM($J$2:$J$21)),IF(Couts_Partages!$B$8="BAC",Couts_Partages!$C$8*I11,Couts_Partages!$C$8*J11/SUM($J$2:$J$21)))</f>
        <v>0</v>
      </c>
      <c r="S11" s="11">
        <f>F11+R11</f>
        <v>0</v>
      </c>
    </row>
    <row r="12" spans="1:19">
      <c r="A12" s="4">
        <v>11</v>
      </c>
      <c r="B12" s="3" t="s">
        <v>65</v>
      </c>
      <c r="C12" s="5">
        <v>45930</v>
      </c>
      <c r="D12" s="5">
        <v>45957</v>
      </c>
      <c r="E12" s="4" t="s">
        <v>11</v>
      </c>
      <c r="F12" s="11">
        <v>37000</v>
      </c>
      <c r="G12" s="4">
        <v>49</v>
      </c>
      <c r="H12" s="11">
        <f>F12*G12/100*(1+(-0.05+0.10*RAND()))</f>
        <v>0</v>
      </c>
      <c r="I12" s="14">
        <f>IF(SUM($F$2:$F$21)=0,"",F12/SUM($F$2:$F$21))</f>
        <v>0</v>
      </c>
      <c r="J12" s="6">
        <f>D12-C12+1</f>
        <v>0</v>
      </c>
      <c r="K12" s="11">
        <f>F12*G12/100</f>
        <v>0</v>
      </c>
      <c r="L12" s="14">
        <f>MAX(0,MIN(1,(TODAY()-C12+1)/(D12-C12+1)))</f>
        <v>0</v>
      </c>
      <c r="M12" s="11">
        <f>F12*L12</f>
        <v>0</v>
      </c>
      <c r="N12" s="11">
        <f>K12-H12</f>
        <v>0</v>
      </c>
      <c r="O12" s="11">
        <f>K12-M12</f>
        <v>0</v>
      </c>
      <c r="P12" s="11">
        <f>IF(H12=0,"",K12/H12)</f>
        <v>0</v>
      </c>
      <c r="Q12" s="11">
        <f>IF(M12=0,"",K12/M12)</f>
        <v>0</v>
      </c>
      <c r="R12" s="11">
        <f>SUM(IF(Couts_Partages!$B$4="BAC",Couts_Partages!$C$4*I12,Couts_Partages!$C$4*J12/SUM($J$2:$J$21)),IF(Couts_Partages!$B$5="BAC",Couts_Partages!$C$5*I12,Couts_Partages!$C$5*J12/SUM($J$2:$J$21)),IF(Couts_Partages!$B$6="BAC",Couts_Partages!$C$6*I12,Couts_Partages!$C$6*J12/SUM($J$2:$J$21)),IF(Couts_Partages!$B$7="BAC",Couts_Partages!$C$7*I12,Couts_Partages!$C$7*J12/SUM($J$2:$J$21)),IF(Couts_Partages!$B$8="BAC",Couts_Partages!$C$8*I12,Couts_Partages!$C$8*J12/SUM($J$2:$J$21)))</f>
        <v>0</v>
      </c>
      <c r="S12" s="11">
        <f>F12+R12</f>
        <v>0</v>
      </c>
    </row>
    <row r="13" spans="1:19">
      <c r="A13" s="4">
        <v>12</v>
      </c>
      <c r="B13" s="3" t="s">
        <v>66</v>
      </c>
      <c r="C13" s="5">
        <v>45930</v>
      </c>
      <c r="D13" s="5">
        <v>45936</v>
      </c>
      <c r="E13" s="4" t="s">
        <v>11</v>
      </c>
      <c r="F13" s="11">
        <v>12000</v>
      </c>
      <c r="G13" s="4">
        <v>53</v>
      </c>
      <c r="H13" s="11">
        <f>F13*G13/100*(1+(-0.05+0.10*RAND()))</f>
        <v>0</v>
      </c>
      <c r="I13" s="14">
        <f>IF(SUM($F$2:$F$21)=0,"",F13/SUM($F$2:$F$21))</f>
        <v>0</v>
      </c>
      <c r="J13" s="6">
        <f>D13-C13+1</f>
        <v>0</v>
      </c>
      <c r="K13" s="11">
        <f>F13*G13/100</f>
        <v>0</v>
      </c>
      <c r="L13" s="14">
        <f>MAX(0,MIN(1,(TODAY()-C13+1)/(D13-C13+1)))</f>
        <v>0</v>
      </c>
      <c r="M13" s="11">
        <f>F13*L13</f>
        <v>0</v>
      </c>
      <c r="N13" s="11">
        <f>K13-H13</f>
        <v>0</v>
      </c>
      <c r="O13" s="11">
        <f>K13-M13</f>
        <v>0</v>
      </c>
      <c r="P13" s="11">
        <f>IF(H13=0,"",K13/H13)</f>
        <v>0</v>
      </c>
      <c r="Q13" s="11">
        <f>IF(M13=0,"",K13/M13)</f>
        <v>0</v>
      </c>
      <c r="R13" s="11">
        <f>SUM(IF(Couts_Partages!$B$4="BAC",Couts_Partages!$C$4*I13,Couts_Partages!$C$4*J13/SUM($J$2:$J$21)),IF(Couts_Partages!$B$5="BAC",Couts_Partages!$C$5*I13,Couts_Partages!$C$5*J13/SUM($J$2:$J$21)),IF(Couts_Partages!$B$6="BAC",Couts_Partages!$C$6*I13,Couts_Partages!$C$6*J13/SUM($J$2:$J$21)),IF(Couts_Partages!$B$7="BAC",Couts_Partages!$C$7*I13,Couts_Partages!$C$7*J13/SUM($J$2:$J$21)),IF(Couts_Partages!$B$8="BAC",Couts_Partages!$C$8*I13,Couts_Partages!$C$8*J13/SUM($J$2:$J$21)))</f>
        <v>0</v>
      </c>
      <c r="S13" s="11">
        <f>F13+R13</f>
        <v>0</v>
      </c>
    </row>
    <row r="14" spans="1:19">
      <c r="A14" s="4">
        <v>13</v>
      </c>
      <c r="B14" s="3" t="s">
        <v>67</v>
      </c>
      <c r="C14" s="5">
        <v>45937</v>
      </c>
      <c r="D14" s="5">
        <v>45950</v>
      </c>
      <c r="E14" s="4" t="s">
        <v>12</v>
      </c>
      <c r="F14" s="11">
        <v>17000</v>
      </c>
      <c r="G14" s="4">
        <v>57</v>
      </c>
      <c r="H14" s="11">
        <f>F14*G14/100*(1+(-0.05+0.10*RAND()))</f>
        <v>0</v>
      </c>
      <c r="I14" s="14">
        <f>IF(SUM($F$2:$F$21)=0,"",F14/SUM($F$2:$F$21))</f>
        <v>0</v>
      </c>
      <c r="J14" s="6">
        <f>D14-C14+1</f>
        <v>0</v>
      </c>
      <c r="K14" s="11">
        <f>F14*G14/100</f>
        <v>0</v>
      </c>
      <c r="L14" s="14">
        <f>MAX(0,MIN(1,(TODAY()-C14+1)/(D14-C14+1)))</f>
        <v>0</v>
      </c>
      <c r="M14" s="11">
        <f>F14*L14</f>
        <v>0</v>
      </c>
      <c r="N14" s="11">
        <f>K14-H14</f>
        <v>0</v>
      </c>
      <c r="O14" s="11">
        <f>K14-M14</f>
        <v>0</v>
      </c>
      <c r="P14" s="11">
        <f>IF(H14=0,"",K14/H14)</f>
        <v>0</v>
      </c>
      <c r="Q14" s="11">
        <f>IF(M14=0,"",K14/M14)</f>
        <v>0</v>
      </c>
      <c r="R14" s="11">
        <f>SUM(IF(Couts_Partages!$B$4="BAC",Couts_Partages!$C$4*I14,Couts_Partages!$C$4*J14/SUM($J$2:$J$21)),IF(Couts_Partages!$B$5="BAC",Couts_Partages!$C$5*I14,Couts_Partages!$C$5*J14/SUM($J$2:$J$21)),IF(Couts_Partages!$B$6="BAC",Couts_Partages!$C$6*I14,Couts_Partages!$C$6*J14/SUM($J$2:$J$21)),IF(Couts_Partages!$B$7="BAC",Couts_Partages!$C$7*I14,Couts_Partages!$C$7*J14/SUM($J$2:$J$21)),IF(Couts_Partages!$B$8="BAC",Couts_Partages!$C$8*I14,Couts_Partages!$C$8*J14/SUM($J$2:$J$21)))</f>
        <v>0</v>
      </c>
      <c r="S14" s="11">
        <f>F14+R14</f>
        <v>0</v>
      </c>
    </row>
    <row r="15" spans="1:19">
      <c r="A15" s="4">
        <v>14</v>
      </c>
      <c r="B15" s="3" t="s">
        <v>68</v>
      </c>
      <c r="C15" s="5">
        <v>45937</v>
      </c>
      <c r="D15" s="5">
        <v>45957</v>
      </c>
      <c r="E15" s="4" t="s">
        <v>12</v>
      </c>
      <c r="F15" s="11">
        <v>22000</v>
      </c>
      <c r="G15" s="4">
        <v>61</v>
      </c>
      <c r="H15" s="11">
        <f>F15*G15/100*(1+(-0.05+0.10*RAND()))</f>
        <v>0</v>
      </c>
      <c r="I15" s="14">
        <f>IF(SUM($F$2:$F$21)=0,"",F15/SUM($F$2:$F$21))</f>
        <v>0</v>
      </c>
      <c r="J15" s="6">
        <f>D15-C15+1</f>
        <v>0</v>
      </c>
      <c r="K15" s="11">
        <f>F15*G15/100</f>
        <v>0</v>
      </c>
      <c r="L15" s="14">
        <f>MAX(0,MIN(1,(TODAY()-C15+1)/(D15-C15+1)))</f>
        <v>0</v>
      </c>
      <c r="M15" s="11">
        <f>F15*L15</f>
        <v>0</v>
      </c>
      <c r="N15" s="11">
        <f>K15-H15</f>
        <v>0</v>
      </c>
      <c r="O15" s="11">
        <f>K15-M15</f>
        <v>0</v>
      </c>
      <c r="P15" s="11">
        <f>IF(H15=0,"",K15/H15)</f>
        <v>0</v>
      </c>
      <c r="Q15" s="11">
        <f>IF(M15=0,"",K15/M15)</f>
        <v>0</v>
      </c>
      <c r="R15" s="11">
        <f>SUM(IF(Couts_Partages!$B$4="BAC",Couts_Partages!$C$4*I15,Couts_Partages!$C$4*J15/SUM($J$2:$J$21)),IF(Couts_Partages!$B$5="BAC",Couts_Partages!$C$5*I15,Couts_Partages!$C$5*J15/SUM($J$2:$J$21)),IF(Couts_Partages!$B$6="BAC",Couts_Partages!$C$6*I15,Couts_Partages!$C$6*J15/SUM($J$2:$J$21)),IF(Couts_Partages!$B$7="BAC",Couts_Partages!$C$7*I15,Couts_Partages!$C$7*J15/SUM($J$2:$J$21)),IF(Couts_Partages!$B$8="BAC",Couts_Partages!$C$8*I15,Couts_Partages!$C$8*J15/SUM($J$2:$J$21)))</f>
        <v>0</v>
      </c>
      <c r="S15" s="11">
        <f>F15+R15</f>
        <v>0</v>
      </c>
    </row>
    <row r="16" spans="1:19">
      <c r="A16" s="4">
        <v>15</v>
      </c>
      <c r="B16" s="3" t="s">
        <v>69</v>
      </c>
      <c r="C16" s="5">
        <v>45944</v>
      </c>
      <c r="D16" s="5">
        <v>45971</v>
      </c>
      <c r="E16" s="4" t="s">
        <v>12</v>
      </c>
      <c r="F16" s="11">
        <v>27000</v>
      </c>
      <c r="G16" s="4">
        <v>65</v>
      </c>
      <c r="H16" s="11">
        <f>F16*G16/100*(1+(-0.05+0.10*RAND()))</f>
        <v>0</v>
      </c>
      <c r="I16" s="14">
        <f>IF(SUM($F$2:$F$21)=0,"",F16/SUM($F$2:$F$21))</f>
        <v>0</v>
      </c>
      <c r="J16" s="6">
        <f>D16-C16+1</f>
        <v>0</v>
      </c>
      <c r="K16" s="11">
        <f>F16*G16/100</f>
        <v>0</v>
      </c>
      <c r="L16" s="14">
        <f>MAX(0,MIN(1,(TODAY()-C16+1)/(D16-C16+1)))</f>
        <v>0</v>
      </c>
      <c r="M16" s="11">
        <f>F16*L16</f>
        <v>0</v>
      </c>
      <c r="N16" s="11">
        <f>K16-H16</f>
        <v>0</v>
      </c>
      <c r="O16" s="11">
        <f>K16-M16</f>
        <v>0</v>
      </c>
      <c r="P16" s="11">
        <f>IF(H16=0,"",K16/H16)</f>
        <v>0</v>
      </c>
      <c r="Q16" s="11">
        <f>IF(M16=0,"",K16/M16)</f>
        <v>0</v>
      </c>
      <c r="R16" s="11">
        <f>SUM(IF(Couts_Partages!$B$4="BAC",Couts_Partages!$C$4*I16,Couts_Partages!$C$4*J16/SUM($J$2:$J$21)),IF(Couts_Partages!$B$5="BAC",Couts_Partages!$C$5*I16,Couts_Partages!$C$5*J16/SUM($J$2:$J$21)),IF(Couts_Partages!$B$6="BAC",Couts_Partages!$C$6*I16,Couts_Partages!$C$6*J16/SUM($J$2:$J$21)),IF(Couts_Partages!$B$7="BAC",Couts_Partages!$C$7*I16,Couts_Partages!$C$7*J16/SUM($J$2:$J$21)),IF(Couts_Partages!$B$8="BAC",Couts_Partages!$C$8*I16,Couts_Partages!$C$8*J16/SUM($J$2:$J$21)))</f>
        <v>0</v>
      </c>
      <c r="S16" s="11">
        <f>F16+R16</f>
        <v>0</v>
      </c>
    </row>
    <row r="17" spans="1:19">
      <c r="A17" s="4">
        <v>16</v>
      </c>
      <c r="B17" s="3" t="s">
        <v>70</v>
      </c>
      <c r="C17" s="5">
        <v>45944</v>
      </c>
      <c r="D17" s="5">
        <v>45950</v>
      </c>
      <c r="E17" s="4" t="s">
        <v>13</v>
      </c>
      <c r="F17" s="11">
        <v>32000</v>
      </c>
      <c r="G17" s="4">
        <v>69</v>
      </c>
      <c r="H17" s="11">
        <f>F17*G17/100*(1+(-0.05+0.10*RAND()))</f>
        <v>0</v>
      </c>
      <c r="I17" s="14">
        <f>IF(SUM($F$2:$F$21)=0,"",F17/SUM($F$2:$F$21))</f>
        <v>0</v>
      </c>
      <c r="J17" s="6">
        <f>D17-C17+1</f>
        <v>0</v>
      </c>
      <c r="K17" s="11">
        <f>F17*G17/100</f>
        <v>0</v>
      </c>
      <c r="L17" s="14">
        <f>MAX(0,MIN(1,(TODAY()-C17+1)/(D17-C17+1)))</f>
        <v>0</v>
      </c>
      <c r="M17" s="11">
        <f>F17*L17</f>
        <v>0</v>
      </c>
      <c r="N17" s="11">
        <f>K17-H17</f>
        <v>0</v>
      </c>
      <c r="O17" s="11">
        <f>K17-M17</f>
        <v>0</v>
      </c>
      <c r="P17" s="11">
        <f>IF(H17=0,"",K17/H17)</f>
        <v>0</v>
      </c>
      <c r="Q17" s="11">
        <f>IF(M17=0,"",K17/M17)</f>
        <v>0</v>
      </c>
      <c r="R17" s="11">
        <f>SUM(IF(Couts_Partages!$B$4="BAC",Couts_Partages!$C$4*I17,Couts_Partages!$C$4*J17/SUM($J$2:$J$21)),IF(Couts_Partages!$B$5="BAC",Couts_Partages!$C$5*I17,Couts_Partages!$C$5*J17/SUM($J$2:$J$21)),IF(Couts_Partages!$B$6="BAC",Couts_Partages!$C$6*I17,Couts_Partages!$C$6*J17/SUM($J$2:$J$21)),IF(Couts_Partages!$B$7="BAC",Couts_Partages!$C$7*I17,Couts_Partages!$C$7*J17/SUM($J$2:$J$21)),IF(Couts_Partages!$B$8="BAC",Couts_Partages!$C$8*I17,Couts_Partages!$C$8*J17/SUM($J$2:$J$21)))</f>
        <v>0</v>
      </c>
      <c r="S17" s="11">
        <f>F17+R17</f>
        <v>0</v>
      </c>
    </row>
    <row r="18" spans="1:19">
      <c r="A18" s="4">
        <v>17</v>
      </c>
      <c r="B18" s="3" t="s">
        <v>71</v>
      </c>
      <c r="C18" s="5">
        <v>45951</v>
      </c>
      <c r="D18" s="5">
        <v>45964</v>
      </c>
      <c r="E18" s="4" t="s">
        <v>13</v>
      </c>
      <c r="F18" s="11">
        <v>37000</v>
      </c>
      <c r="G18" s="4">
        <v>73</v>
      </c>
      <c r="H18" s="11">
        <f>F18*G18/100*(1+(-0.05+0.10*RAND()))</f>
        <v>0</v>
      </c>
      <c r="I18" s="14">
        <f>IF(SUM($F$2:$F$21)=0,"",F18/SUM($F$2:$F$21))</f>
        <v>0</v>
      </c>
      <c r="J18" s="6">
        <f>D18-C18+1</f>
        <v>0</v>
      </c>
      <c r="K18" s="11">
        <f>F18*G18/100</f>
        <v>0</v>
      </c>
      <c r="L18" s="14">
        <f>MAX(0,MIN(1,(TODAY()-C18+1)/(D18-C18+1)))</f>
        <v>0</v>
      </c>
      <c r="M18" s="11">
        <f>F18*L18</f>
        <v>0</v>
      </c>
      <c r="N18" s="11">
        <f>K18-H18</f>
        <v>0</v>
      </c>
      <c r="O18" s="11">
        <f>K18-M18</f>
        <v>0</v>
      </c>
      <c r="P18" s="11">
        <f>IF(H18=0,"",K18/H18)</f>
        <v>0</v>
      </c>
      <c r="Q18" s="11">
        <f>IF(M18=0,"",K18/M18)</f>
        <v>0</v>
      </c>
      <c r="R18" s="11">
        <f>SUM(IF(Couts_Partages!$B$4="BAC",Couts_Partages!$C$4*I18,Couts_Partages!$C$4*J18/SUM($J$2:$J$21)),IF(Couts_Partages!$B$5="BAC",Couts_Partages!$C$5*I18,Couts_Partages!$C$5*J18/SUM($J$2:$J$21)),IF(Couts_Partages!$B$6="BAC",Couts_Partages!$C$6*I18,Couts_Partages!$C$6*J18/SUM($J$2:$J$21)),IF(Couts_Partages!$B$7="BAC",Couts_Partages!$C$7*I18,Couts_Partages!$C$7*J18/SUM($J$2:$J$21)),IF(Couts_Partages!$B$8="BAC",Couts_Partages!$C$8*I18,Couts_Partages!$C$8*J18/SUM($J$2:$J$21)))</f>
        <v>0</v>
      </c>
      <c r="S18" s="11">
        <f>F18+R18</f>
        <v>0</v>
      </c>
    </row>
    <row r="19" spans="1:19">
      <c r="A19" s="4">
        <v>18</v>
      </c>
      <c r="B19" s="3" t="s">
        <v>72</v>
      </c>
      <c r="C19" s="5">
        <v>45951</v>
      </c>
      <c r="D19" s="5">
        <v>45971</v>
      </c>
      <c r="E19" s="4" t="s">
        <v>13</v>
      </c>
      <c r="F19" s="11">
        <v>12000</v>
      </c>
      <c r="G19" s="4">
        <v>77</v>
      </c>
      <c r="H19" s="11">
        <f>F19*G19/100*(1+(-0.05+0.10*RAND()))</f>
        <v>0</v>
      </c>
      <c r="I19" s="14">
        <f>IF(SUM($F$2:$F$21)=0,"",F19/SUM($F$2:$F$21))</f>
        <v>0</v>
      </c>
      <c r="J19" s="6">
        <f>D19-C19+1</f>
        <v>0</v>
      </c>
      <c r="K19" s="11">
        <f>F19*G19/100</f>
        <v>0</v>
      </c>
      <c r="L19" s="14">
        <f>MAX(0,MIN(1,(TODAY()-C19+1)/(D19-C19+1)))</f>
        <v>0</v>
      </c>
      <c r="M19" s="11">
        <f>F19*L19</f>
        <v>0</v>
      </c>
      <c r="N19" s="11">
        <f>K19-H19</f>
        <v>0</v>
      </c>
      <c r="O19" s="11">
        <f>K19-M19</f>
        <v>0</v>
      </c>
      <c r="P19" s="11">
        <f>IF(H19=0,"",K19/H19)</f>
        <v>0</v>
      </c>
      <c r="Q19" s="11">
        <f>IF(M19=0,"",K19/M19)</f>
        <v>0</v>
      </c>
      <c r="R19" s="11">
        <f>SUM(IF(Couts_Partages!$B$4="BAC",Couts_Partages!$C$4*I19,Couts_Partages!$C$4*J19/SUM($J$2:$J$21)),IF(Couts_Partages!$B$5="BAC",Couts_Partages!$C$5*I19,Couts_Partages!$C$5*J19/SUM($J$2:$J$21)),IF(Couts_Partages!$B$6="BAC",Couts_Partages!$C$6*I19,Couts_Partages!$C$6*J19/SUM($J$2:$J$21)),IF(Couts_Partages!$B$7="BAC",Couts_Partages!$C$7*I19,Couts_Partages!$C$7*J19/SUM($J$2:$J$21)),IF(Couts_Partages!$B$8="BAC",Couts_Partages!$C$8*I19,Couts_Partages!$C$8*J19/SUM($J$2:$J$21)))</f>
        <v>0</v>
      </c>
      <c r="S19" s="11">
        <f>F19+R19</f>
        <v>0</v>
      </c>
    </row>
    <row r="20" spans="1:19">
      <c r="A20" s="4">
        <v>19</v>
      </c>
      <c r="B20" s="3" t="s">
        <v>73</v>
      </c>
      <c r="C20" s="5">
        <v>45958</v>
      </c>
      <c r="D20" s="5">
        <v>45985</v>
      </c>
      <c r="E20" s="4" t="s">
        <v>14</v>
      </c>
      <c r="F20" s="11">
        <v>17000</v>
      </c>
      <c r="G20" s="4">
        <v>81</v>
      </c>
      <c r="H20" s="11">
        <f>F20*G20/100*(1+(-0.05+0.10*RAND()))</f>
        <v>0</v>
      </c>
      <c r="I20" s="14">
        <f>IF(SUM($F$2:$F$21)=0,"",F20/SUM($F$2:$F$21))</f>
        <v>0</v>
      </c>
      <c r="J20" s="6">
        <f>D20-C20+1</f>
        <v>0</v>
      </c>
      <c r="K20" s="11">
        <f>F20*G20/100</f>
        <v>0</v>
      </c>
      <c r="L20" s="14">
        <f>MAX(0,MIN(1,(TODAY()-C20+1)/(D20-C20+1)))</f>
        <v>0</v>
      </c>
      <c r="M20" s="11">
        <f>F20*L20</f>
        <v>0</v>
      </c>
      <c r="N20" s="11">
        <f>K20-H20</f>
        <v>0</v>
      </c>
      <c r="O20" s="11">
        <f>K20-M20</f>
        <v>0</v>
      </c>
      <c r="P20" s="11">
        <f>IF(H20=0,"",K20/H20)</f>
        <v>0</v>
      </c>
      <c r="Q20" s="11">
        <f>IF(M20=0,"",K20/M20)</f>
        <v>0</v>
      </c>
      <c r="R20" s="11">
        <f>SUM(IF(Couts_Partages!$B$4="BAC",Couts_Partages!$C$4*I20,Couts_Partages!$C$4*J20/SUM($J$2:$J$21)),IF(Couts_Partages!$B$5="BAC",Couts_Partages!$C$5*I20,Couts_Partages!$C$5*J20/SUM($J$2:$J$21)),IF(Couts_Partages!$B$6="BAC",Couts_Partages!$C$6*I20,Couts_Partages!$C$6*J20/SUM($J$2:$J$21)),IF(Couts_Partages!$B$7="BAC",Couts_Partages!$C$7*I20,Couts_Partages!$C$7*J20/SUM($J$2:$J$21)),IF(Couts_Partages!$B$8="BAC",Couts_Partages!$C$8*I20,Couts_Partages!$C$8*J20/SUM($J$2:$J$21)))</f>
        <v>0</v>
      </c>
      <c r="S20" s="11">
        <f>F20+R20</f>
        <v>0</v>
      </c>
    </row>
    <row r="21" spans="1:19">
      <c r="A21" s="4">
        <v>20</v>
      </c>
      <c r="B21" s="3" t="s">
        <v>15</v>
      </c>
      <c r="C21" s="5">
        <v>45958</v>
      </c>
      <c r="D21" s="5">
        <v>45964</v>
      </c>
      <c r="E21" s="4" t="s">
        <v>14</v>
      </c>
      <c r="F21" s="11">
        <v>22000</v>
      </c>
      <c r="G21" s="4">
        <v>85</v>
      </c>
      <c r="H21" s="11">
        <f>F21*G21/100*(1+(-0.05+0.10*RAND()))</f>
        <v>0</v>
      </c>
      <c r="I21" s="14">
        <f>IF(SUM($F$2:$F$21)=0,"",F21/SUM($F$2:$F$21))</f>
        <v>0</v>
      </c>
      <c r="J21" s="6">
        <f>D21-C21+1</f>
        <v>0</v>
      </c>
      <c r="K21" s="11">
        <f>F21*G21/100</f>
        <v>0</v>
      </c>
      <c r="L21" s="14">
        <f>MAX(0,MIN(1,(TODAY()-C21+1)/(D21-C21+1)))</f>
        <v>0</v>
      </c>
      <c r="M21" s="11">
        <f>F21*L21</f>
        <v>0</v>
      </c>
      <c r="N21" s="11">
        <f>K21-H21</f>
        <v>0</v>
      </c>
      <c r="O21" s="11">
        <f>K21-M21</f>
        <v>0</v>
      </c>
      <c r="P21" s="11">
        <f>IF(H21=0,"",K21/H21)</f>
        <v>0</v>
      </c>
      <c r="Q21" s="11">
        <f>IF(M21=0,"",K21/M21)</f>
        <v>0</v>
      </c>
      <c r="R21" s="11">
        <f>SUM(IF(Couts_Partages!$B$4="BAC",Couts_Partages!$C$4*I21,Couts_Partages!$C$4*J21/SUM($J$2:$J$21)),IF(Couts_Partages!$B$5="BAC",Couts_Partages!$C$5*I21,Couts_Partages!$C$5*J21/SUM($J$2:$J$21)),IF(Couts_Partages!$B$6="BAC",Couts_Partages!$C$6*I21,Couts_Partages!$C$6*J21/SUM($J$2:$J$21)),IF(Couts_Partages!$B$7="BAC",Couts_Partages!$C$7*I21,Couts_Partages!$C$7*J21/SUM($J$2:$J$21)),IF(Couts_Partages!$B$8="BAC",Couts_Partages!$C$8*I21,Couts_Partages!$C$8*J21/SUM($J$2:$J$21)))</f>
        <v>0</v>
      </c>
      <c r="S21" s="11">
        <f>F21+R21</f>
        <v>0</v>
      </c>
    </row>
    <row r="22" spans="1:19">
      <c r="A22" s="12" t="s">
        <v>35</v>
      </c>
      <c r="F22" s="13">
        <f>SUM(F2:F21)</f>
        <v>0</v>
      </c>
      <c r="H22" s="13">
        <f>SUM(H2:H21)</f>
        <v>0</v>
      </c>
      <c r="I22" s="15">
        <f>SUM(I2:I21)</f>
        <v>0</v>
      </c>
      <c r="J22" s="13">
        <f>SUM(J2:J21)</f>
        <v>0</v>
      </c>
      <c r="K22" s="13">
        <f>SUM(K2:K21)</f>
        <v>0</v>
      </c>
      <c r="M22" s="13">
        <f>SUM(M2:M21)</f>
        <v>0</v>
      </c>
      <c r="N22" s="13">
        <f>SUM(N2:N21)</f>
        <v>0</v>
      </c>
      <c r="O22" s="13">
        <f>SUM(O2:O21)</f>
        <v>0</v>
      </c>
      <c r="R22" s="13">
        <f>SUM(R2:R21)</f>
        <v>0</v>
      </c>
      <c r="S22" s="13">
        <f>SUM(S2:S21)</f>
        <v>0</v>
      </c>
    </row>
  </sheetData>
  <conditionalFormatting sqref="P10">
    <cfRule type="expression" dxfId="0" priority="49">
      <formula>P10&gt;=CPI_Vert</formula>
    </cfRule>
    <cfRule type="expression" dxfId="1" priority="50">
      <formula>AND(P10&gt;=CPI_Ambre,P10&lt;CPI_Vert)</formula>
    </cfRule>
    <cfRule type="expression" dxfId="2" priority="51">
      <formula>P10&lt;CPI_Ambre</formula>
    </cfRule>
  </conditionalFormatting>
  <conditionalFormatting sqref="P11">
    <cfRule type="expression" dxfId="0" priority="55">
      <formula>P11&gt;=CPI_Vert</formula>
    </cfRule>
    <cfRule type="expression" dxfId="1" priority="56">
      <formula>AND(P11&gt;=CPI_Ambre,P11&lt;CPI_Vert)</formula>
    </cfRule>
    <cfRule type="expression" dxfId="2" priority="57">
      <formula>P11&lt;CPI_Ambre</formula>
    </cfRule>
  </conditionalFormatting>
  <conditionalFormatting sqref="P12">
    <cfRule type="expression" dxfId="0" priority="61">
      <formula>P12&gt;=CPI_Vert</formula>
    </cfRule>
    <cfRule type="expression" dxfId="1" priority="62">
      <formula>AND(P12&gt;=CPI_Ambre,P12&lt;CPI_Vert)</formula>
    </cfRule>
    <cfRule type="expression" dxfId="2" priority="63">
      <formula>P12&lt;CPI_Ambre</formula>
    </cfRule>
  </conditionalFormatting>
  <conditionalFormatting sqref="P13">
    <cfRule type="expression" dxfId="0" priority="67">
      <formula>P13&gt;=CPI_Vert</formula>
    </cfRule>
    <cfRule type="expression" dxfId="1" priority="68">
      <formula>AND(P13&gt;=CPI_Ambre,P13&lt;CPI_Vert)</formula>
    </cfRule>
    <cfRule type="expression" dxfId="2" priority="69">
      <formula>P13&lt;CPI_Ambre</formula>
    </cfRule>
  </conditionalFormatting>
  <conditionalFormatting sqref="P14">
    <cfRule type="expression" dxfId="0" priority="73">
      <formula>P14&gt;=CPI_Vert</formula>
    </cfRule>
    <cfRule type="expression" dxfId="1" priority="74">
      <formula>AND(P14&gt;=CPI_Ambre,P14&lt;CPI_Vert)</formula>
    </cfRule>
    <cfRule type="expression" dxfId="2" priority="75">
      <formula>P14&lt;CPI_Ambre</formula>
    </cfRule>
  </conditionalFormatting>
  <conditionalFormatting sqref="P15">
    <cfRule type="expression" dxfId="0" priority="79">
      <formula>P15&gt;=CPI_Vert</formula>
    </cfRule>
    <cfRule type="expression" dxfId="1" priority="80">
      <formula>AND(P15&gt;=CPI_Ambre,P15&lt;CPI_Vert)</formula>
    </cfRule>
    <cfRule type="expression" dxfId="2" priority="81">
      <formula>P15&lt;CPI_Ambre</formula>
    </cfRule>
  </conditionalFormatting>
  <conditionalFormatting sqref="P16">
    <cfRule type="expression" dxfId="0" priority="85">
      <formula>P16&gt;=CPI_Vert</formula>
    </cfRule>
    <cfRule type="expression" dxfId="1" priority="86">
      <formula>AND(P16&gt;=CPI_Ambre,P16&lt;CPI_Vert)</formula>
    </cfRule>
    <cfRule type="expression" dxfId="2" priority="87">
      <formula>P16&lt;CPI_Ambre</formula>
    </cfRule>
  </conditionalFormatting>
  <conditionalFormatting sqref="P17">
    <cfRule type="expression" dxfId="0" priority="91">
      <formula>P17&gt;=CPI_Vert</formula>
    </cfRule>
    <cfRule type="expression" dxfId="1" priority="92">
      <formula>AND(P17&gt;=CPI_Ambre,P17&lt;CPI_Vert)</formula>
    </cfRule>
    <cfRule type="expression" dxfId="2" priority="93">
      <formula>P17&lt;CPI_Ambre</formula>
    </cfRule>
  </conditionalFormatting>
  <conditionalFormatting sqref="P18">
    <cfRule type="expression" dxfId="0" priority="97">
      <formula>P18&gt;=CPI_Vert</formula>
    </cfRule>
    <cfRule type="expression" dxfId="1" priority="98">
      <formula>AND(P18&gt;=CPI_Ambre,P18&lt;CPI_Vert)</formula>
    </cfRule>
    <cfRule type="expression" dxfId="2" priority="99">
      <formula>P18&lt;CPI_Ambre</formula>
    </cfRule>
  </conditionalFormatting>
  <conditionalFormatting sqref="P19">
    <cfRule type="expression" dxfId="0" priority="103">
      <formula>P19&gt;=CPI_Vert</formula>
    </cfRule>
    <cfRule type="expression" dxfId="1" priority="104">
      <formula>AND(P19&gt;=CPI_Ambre,P19&lt;CPI_Vert)</formula>
    </cfRule>
    <cfRule type="expression" dxfId="2" priority="105">
      <formula>P19&lt;CPI_Ambre</formula>
    </cfRule>
  </conditionalFormatting>
  <conditionalFormatting sqref="P2">
    <cfRule type="expression" dxfId="0" priority="1">
      <formula>P2&gt;=CPI_Vert</formula>
    </cfRule>
    <cfRule type="expression" dxfId="1" priority="2">
      <formula>AND(P2&gt;=CPI_Ambre,P2&lt;CPI_Vert)</formula>
    </cfRule>
    <cfRule type="expression" dxfId="2" priority="3">
      <formula>P2&lt;CPI_Ambre</formula>
    </cfRule>
  </conditionalFormatting>
  <conditionalFormatting sqref="P20">
    <cfRule type="expression" dxfId="0" priority="109">
      <formula>P20&gt;=CPI_Vert</formula>
    </cfRule>
    <cfRule type="expression" dxfId="1" priority="110">
      <formula>AND(P20&gt;=CPI_Ambre,P20&lt;CPI_Vert)</formula>
    </cfRule>
    <cfRule type="expression" dxfId="2" priority="111">
      <formula>P20&lt;CPI_Ambre</formula>
    </cfRule>
  </conditionalFormatting>
  <conditionalFormatting sqref="P21">
    <cfRule type="expression" dxfId="0" priority="115">
      <formula>P21&gt;=CPI_Vert</formula>
    </cfRule>
    <cfRule type="expression" dxfId="1" priority="116">
      <formula>AND(P21&gt;=CPI_Ambre,P21&lt;CPI_Vert)</formula>
    </cfRule>
    <cfRule type="expression" dxfId="2" priority="117">
      <formula>P21&lt;CPI_Ambre</formula>
    </cfRule>
  </conditionalFormatting>
  <conditionalFormatting sqref="P3">
    <cfRule type="expression" dxfId="0" priority="7">
      <formula>P3&gt;=CPI_Vert</formula>
    </cfRule>
    <cfRule type="expression" dxfId="1" priority="8">
      <formula>AND(P3&gt;=CPI_Ambre,P3&lt;CPI_Vert)</formula>
    </cfRule>
    <cfRule type="expression" dxfId="2" priority="9">
      <formula>P3&lt;CPI_Ambre</formula>
    </cfRule>
  </conditionalFormatting>
  <conditionalFormatting sqref="P4">
    <cfRule type="expression" dxfId="0" priority="13">
      <formula>P4&gt;=CPI_Vert</formula>
    </cfRule>
    <cfRule type="expression" dxfId="1" priority="14">
      <formula>AND(P4&gt;=CPI_Ambre,P4&lt;CPI_Vert)</formula>
    </cfRule>
    <cfRule type="expression" dxfId="2" priority="15">
      <formula>P4&lt;CPI_Ambre</formula>
    </cfRule>
  </conditionalFormatting>
  <conditionalFormatting sqref="P5">
    <cfRule type="expression" dxfId="0" priority="19">
      <formula>P5&gt;=CPI_Vert</formula>
    </cfRule>
    <cfRule type="expression" dxfId="1" priority="20">
      <formula>AND(P5&gt;=CPI_Ambre,P5&lt;CPI_Vert)</formula>
    </cfRule>
    <cfRule type="expression" dxfId="2" priority="21">
      <formula>P5&lt;CPI_Ambre</formula>
    </cfRule>
  </conditionalFormatting>
  <conditionalFormatting sqref="P6">
    <cfRule type="expression" dxfId="0" priority="25">
      <formula>P6&gt;=CPI_Vert</formula>
    </cfRule>
    <cfRule type="expression" dxfId="1" priority="26">
      <formula>AND(P6&gt;=CPI_Ambre,P6&lt;CPI_Vert)</formula>
    </cfRule>
    <cfRule type="expression" dxfId="2" priority="27">
      <formula>P6&lt;CPI_Ambre</formula>
    </cfRule>
  </conditionalFormatting>
  <conditionalFormatting sqref="P7">
    <cfRule type="expression" dxfId="0" priority="31">
      <formula>P7&gt;=CPI_Vert</formula>
    </cfRule>
    <cfRule type="expression" dxfId="1" priority="32">
      <formula>AND(P7&gt;=CPI_Ambre,P7&lt;CPI_Vert)</formula>
    </cfRule>
    <cfRule type="expression" dxfId="2" priority="33">
      <formula>P7&lt;CPI_Ambre</formula>
    </cfRule>
  </conditionalFormatting>
  <conditionalFormatting sqref="P8">
    <cfRule type="expression" dxfId="0" priority="37">
      <formula>P8&gt;=CPI_Vert</formula>
    </cfRule>
    <cfRule type="expression" dxfId="1" priority="38">
      <formula>AND(P8&gt;=CPI_Ambre,P8&lt;CPI_Vert)</formula>
    </cfRule>
    <cfRule type="expression" dxfId="2" priority="39">
      <formula>P8&lt;CPI_Ambre</formula>
    </cfRule>
  </conditionalFormatting>
  <conditionalFormatting sqref="P9">
    <cfRule type="expression" dxfId="0" priority="43">
      <formula>P9&gt;=CPI_Vert</formula>
    </cfRule>
    <cfRule type="expression" dxfId="1" priority="44">
      <formula>AND(P9&gt;=CPI_Ambre,P9&lt;CPI_Vert)</formula>
    </cfRule>
    <cfRule type="expression" dxfId="2" priority="45">
      <formula>P9&lt;CPI_Ambre</formula>
    </cfRule>
  </conditionalFormatting>
  <conditionalFormatting sqref="Q10">
    <cfRule type="expression" dxfId="0" priority="52">
      <formula>Q10&gt;=SPI_Vert</formula>
    </cfRule>
    <cfRule type="expression" dxfId="1" priority="53">
      <formula>AND(Q10&gt;=SPI_Ambre,Q10&lt;SPI_Vert)</formula>
    </cfRule>
    <cfRule type="expression" dxfId="2" priority="54">
      <formula>Q10&lt;SPI_Ambre</formula>
    </cfRule>
  </conditionalFormatting>
  <conditionalFormatting sqref="Q11">
    <cfRule type="expression" dxfId="0" priority="58">
      <formula>Q11&gt;=SPI_Vert</formula>
    </cfRule>
    <cfRule type="expression" dxfId="1" priority="59">
      <formula>AND(Q11&gt;=SPI_Ambre,Q11&lt;SPI_Vert)</formula>
    </cfRule>
    <cfRule type="expression" dxfId="2" priority="60">
      <formula>Q11&lt;SPI_Ambre</formula>
    </cfRule>
  </conditionalFormatting>
  <conditionalFormatting sqref="Q12">
    <cfRule type="expression" dxfId="0" priority="64">
      <formula>Q12&gt;=SPI_Vert</formula>
    </cfRule>
    <cfRule type="expression" dxfId="1" priority="65">
      <formula>AND(Q12&gt;=SPI_Ambre,Q12&lt;SPI_Vert)</formula>
    </cfRule>
    <cfRule type="expression" dxfId="2" priority="66">
      <formula>Q12&lt;SPI_Ambre</formula>
    </cfRule>
  </conditionalFormatting>
  <conditionalFormatting sqref="Q13">
    <cfRule type="expression" dxfId="0" priority="70">
      <formula>Q13&gt;=SPI_Vert</formula>
    </cfRule>
    <cfRule type="expression" dxfId="1" priority="71">
      <formula>AND(Q13&gt;=SPI_Ambre,Q13&lt;SPI_Vert)</formula>
    </cfRule>
    <cfRule type="expression" dxfId="2" priority="72">
      <formula>Q13&lt;SPI_Ambre</formula>
    </cfRule>
  </conditionalFormatting>
  <conditionalFormatting sqref="Q14">
    <cfRule type="expression" dxfId="0" priority="76">
      <formula>Q14&gt;=SPI_Vert</formula>
    </cfRule>
    <cfRule type="expression" dxfId="1" priority="77">
      <formula>AND(Q14&gt;=SPI_Ambre,Q14&lt;SPI_Vert)</formula>
    </cfRule>
    <cfRule type="expression" dxfId="2" priority="78">
      <formula>Q14&lt;SPI_Ambre</formula>
    </cfRule>
  </conditionalFormatting>
  <conditionalFormatting sqref="Q15">
    <cfRule type="expression" dxfId="0" priority="82">
      <formula>Q15&gt;=SPI_Vert</formula>
    </cfRule>
    <cfRule type="expression" dxfId="1" priority="83">
      <formula>AND(Q15&gt;=SPI_Ambre,Q15&lt;SPI_Vert)</formula>
    </cfRule>
    <cfRule type="expression" dxfId="2" priority="84">
      <formula>Q15&lt;SPI_Ambre</formula>
    </cfRule>
  </conditionalFormatting>
  <conditionalFormatting sqref="Q16">
    <cfRule type="expression" dxfId="0" priority="88">
      <formula>Q16&gt;=SPI_Vert</formula>
    </cfRule>
    <cfRule type="expression" dxfId="1" priority="89">
      <formula>AND(Q16&gt;=SPI_Ambre,Q16&lt;SPI_Vert)</formula>
    </cfRule>
    <cfRule type="expression" dxfId="2" priority="90">
      <formula>Q16&lt;SPI_Ambre</formula>
    </cfRule>
  </conditionalFormatting>
  <conditionalFormatting sqref="Q17">
    <cfRule type="expression" dxfId="0" priority="94">
      <formula>Q17&gt;=SPI_Vert</formula>
    </cfRule>
    <cfRule type="expression" dxfId="1" priority="95">
      <formula>AND(Q17&gt;=SPI_Ambre,Q17&lt;SPI_Vert)</formula>
    </cfRule>
    <cfRule type="expression" dxfId="2" priority="96">
      <formula>Q17&lt;SPI_Ambre</formula>
    </cfRule>
  </conditionalFormatting>
  <conditionalFormatting sqref="Q18">
    <cfRule type="expression" dxfId="0" priority="100">
      <formula>Q18&gt;=SPI_Vert</formula>
    </cfRule>
    <cfRule type="expression" dxfId="1" priority="101">
      <formula>AND(Q18&gt;=SPI_Ambre,Q18&lt;SPI_Vert)</formula>
    </cfRule>
    <cfRule type="expression" dxfId="2" priority="102">
      <formula>Q18&lt;SPI_Ambre</formula>
    </cfRule>
  </conditionalFormatting>
  <conditionalFormatting sqref="Q19">
    <cfRule type="expression" dxfId="0" priority="106">
      <formula>Q19&gt;=SPI_Vert</formula>
    </cfRule>
    <cfRule type="expression" dxfId="1" priority="107">
      <formula>AND(Q19&gt;=SPI_Ambre,Q19&lt;SPI_Vert)</formula>
    </cfRule>
    <cfRule type="expression" dxfId="2" priority="108">
      <formula>Q19&lt;SPI_Ambre</formula>
    </cfRule>
  </conditionalFormatting>
  <conditionalFormatting sqref="Q2">
    <cfRule type="expression" dxfId="0" priority="4">
      <formula>Q2&gt;=SPI_Vert</formula>
    </cfRule>
    <cfRule type="expression" dxfId="1" priority="5">
      <formula>AND(Q2&gt;=SPI_Ambre,Q2&lt;SPI_Vert)</formula>
    </cfRule>
    <cfRule type="expression" dxfId="2" priority="6">
      <formula>Q2&lt;SPI_Ambre</formula>
    </cfRule>
  </conditionalFormatting>
  <conditionalFormatting sqref="Q20">
    <cfRule type="expression" dxfId="0" priority="112">
      <formula>Q20&gt;=SPI_Vert</formula>
    </cfRule>
    <cfRule type="expression" dxfId="1" priority="113">
      <formula>AND(Q20&gt;=SPI_Ambre,Q20&lt;SPI_Vert)</formula>
    </cfRule>
    <cfRule type="expression" dxfId="2" priority="114">
      <formula>Q20&lt;SPI_Ambre</formula>
    </cfRule>
  </conditionalFormatting>
  <conditionalFormatting sqref="Q21">
    <cfRule type="expression" dxfId="0" priority="118">
      <formula>Q21&gt;=SPI_Vert</formula>
    </cfRule>
    <cfRule type="expression" dxfId="1" priority="119">
      <formula>AND(Q21&gt;=SPI_Ambre,Q21&lt;SPI_Vert)</formula>
    </cfRule>
    <cfRule type="expression" dxfId="2" priority="120">
      <formula>Q21&lt;SPI_Ambre</formula>
    </cfRule>
  </conditionalFormatting>
  <conditionalFormatting sqref="Q3">
    <cfRule type="expression" dxfId="0" priority="10">
      <formula>Q3&gt;=SPI_Vert</formula>
    </cfRule>
    <cfRule type="expression" dxfId="1" priority="11">
      <formula>AND(Q3&gt;=SPI_Ambre,Q3&lt;SPI_Vert)</formula>
    </cfRule>
    <cfRule type="expression" dxfId="2" priority="12">
      <formula>Q3&lt;SPI_Ambre</formula>
    </cfRule>
  </conditionalFormatting>
  <conditionalFormatting sqref="Q4">
    <cfRule type="expression" dxfId="0" priority="16">
      <formula>Q4&gt;=SPI_Vert</formula>
    </cfRule>
    <cfRule type="expression" dxfId="1" priority="17">
      <formula>AND(Q4&gt;=SPI_Ambre,Q4&lt;SPI_Vert)</formula>
    </cfRule>
    <cfRule type="expression" dxfId="2" priority="18">
      <formula>Q4&lt;SPI_Ambre</formula>
    </cfRule>
  </conditionalFormatting>
  <conditionalFormatting sqref="Q5">
    <cfRule type="expression" dxfId="0" priority="22">
      <formula>Q5&gt;=SPI_Vert</formula>
    </cfRule>
    <cfRule type="expression" dxfId="1" priority="23">
      <formula>AND(Q5&gt;=SPI_Ambre,Q5&lt;SPI_Vert)</formula>
    </cfRule>
    <cfRule type="expression" dxfId="2" priority="24">
      <formula>Q5&lt;SPI_Ambre</formula>
    </cfRule>
  </conditionalFormatting>
  <conditionalFormatting sqref="Q6">
    <cfRule type="expression" dxfId="0" priority="28">
      <formula>Q6&gt;=SPI_Vert</formula>
    </cfRule>
    <cfRule type="expression" dxfId="1" priority="29">
      <formula>AND(Q6&gt;=SPI_Ambre,Q6&lt;SPI_Vert)</formula>
    </cfRule>
    <cfRule type="expression" dxfId="2" priority="30">
      <formula>Q6&lt;SPI_Ambre</formula>
    </cfRule>
  </conditionalFormatting>
  <conditionalFormatting sqref="Q7">
    <cfRule type="expression" dxfId="0" priority="34">
      <formula>Q7&gt;=SPI_Vert</formula>
    </cfRule>
    <cfRule type="expression" dxfId="1" priority="35">
      <formula>AND(Q7&gt;=SPI_Ambre,Q7&lt;SPI_Vert)</formula>
    </cfRule>
    <cfRule type="expression" dxfId="2" priority="36">
      <formula>Q7&lt;SPI_Ambre</formula>
    </cfRule>
  </conditionalFormatting>
  <conditionalFormatting sqref="Q8">
    <cfRule type="expression" dxfId="0" priority="40">
      <formula>Q8&gt;=SPI_Vert</formula>
    </cfRule>
    <cfRule type="expression" dxfId="1" priority="41">
      <formula>AND(Q8&gt;=SPI_Ambre,Q8&lt;SPI_Vert)</formula>
    </cfRule>
    <cfRule type="expression" dxfId="2" priority="42">
      <formula>Q8&lt;SPI_Ambre</formula>
    </cfRule>
  </conditionalFormatting>
  <conditionalFormatting sqref="Q9">
    <cfRule type="expression" dxfId="0" priority="46">
      <formula>Q9&gt;=SPI_Vert</formula>
    </cfRule>
    <cfRule type="expression" dxfId="1" priority="47">
      <formula>AND(Q9&gt;=SPI_Ambre,Q9&lt;SPI_Vert)</formula>
    </cfRule>
    <cfRule type="expression" dxfId="2" priority="48">
      <formula>Q9&lt;SPI_Ambre</formula>
    </cfRule>
  </conditionalFormatting>
  <dataValidations count="40">
    <dataValidation type="list" allowBlank="1" showInputMessage="1" showErrorMessage="1" sqref="E2">
      <formula1>Phases</formula1>
    </dataValidation>
    <dataValidation type="whole" allowBlank="1" showInputMessage="1" showErrorMessage="1" sqref="G2">
      <formula1>0</formula1>
      <formula2>100</formula2>
    </dataValidation>
    <dataValidation type="list" allowBlank="1" showInputMessage="1" showErrorMessage="1" sqref="E3">
      <formula1>Phases</formula1>
    </dataValidation>
    <dataValidation type="whole" allowBlank="1" showInputMessage="1" showErrorMessage="1" sqref="G3">
      <formula1>0</formula1>
      <formula2>100</formula2>
    </dataValidation>
    <dataValidation type="list" allowBlank="1" showInputMessage="1" showErrorMessage="1" sqref="E4">
      <formula1>Phases</formula1>
    </dataValidation>
    <dataValidation type="whole" allowBlank="1" showInputMessage="1" showErrorMessage="1" sqref="G4">
      <formula1>0</formula1>
      <formula2>100</formula2>
    </dataValidation>
    <dataValidation type="list" allowBlank="1" showInputMessage="1" showErrorMessage="1" sqref="E5">
      <formula1>Phases</formula1>
    </dataValidation>
    <dataValidation type="whole" allowBlank="1" showInputMessage="1" showErrorMessage="1" sqref="G5">
      <formula1>0</formula1>
      <formula2>100</formula2>
    </dataValidation>
    <dataValidation type="list" allowBlank="1" showInputMessage="1" showErrorMessage="1" sqref="E6">
      <formula1>Phases</formula1>
    </dataValidation>
    <dataValidation type="whole" allowBlank="1" showInputMessage="1" showErrorMessage="1" sqref="G6">
      <formula1>0</formula1>
      <formula2>100</formula2>
    </dataValidation>
    <dataValidation type="list" allowBlank="1" showInputMessage="1" showErrorMessage="1" sqref="E7">
      <formula1>Phases</formula1>
    </dataValidation>
    <dataValidation type="whole" allowBlank="1" showInputMessage="1" showErrorMessage="1" sqref="G7">
      <formula1>0</formula1>
      <formula2>100</formula2>
    </dataValidation>
    <dataValidation type="list" allowBlank="1" showInputMessage="1" showErrorMessage="1" sqref="E8">
      <formula1>Phases</formula1>
    </dataValidation>
    <dataValidation type="whole" allowBlank="1" showInputMessage="1" showErrorMessage="1" sqref="G8">
      <formula1>0</formula1>
      <formula2>100</formula2>
    </dataValidation>
    <dataValidation type="list" allowBlank="1" showInputMessage="1" showErrorMessage="1" sqref="E9">
      <formula1>Phases</formula1>
    </dataValidation>
    <dataValidation type="whole" allowBlank="1" showInputMessage="1" showErrorMessage="1" sqref="G9">
      <formula1>0</formula1>
      <formula2>100</formula2>
    </dataValidation>
    <dataValidation type="list" allowBlank="1" showInputMessage="1" showErrorMessage="1" sqref="E10">
      <formula1>Phases</formula1>
    </dataValidation>
    <dataValidation type="whole" allowBlank="1" showInputMessage="1" showErrorMessage="1" sqref="G10">
      <formula1>0</formula1>
      <formula2>100</formula2>
    </dataValidation>
    <dataValidation type="list" allowBlank="1" showInputMessage="1" showErrorMessage="1" sqref="E11">
      <formula1>Phases</formula1>
    </dataValidation>
    <dataValidation type="whole" allowBlank="1" showInputMessage="1" showErrorMessage="1" sqref="G11">
      <formula1>0</formula1>
      <formula2>100</formula2>
    </dataValidation>
    <dataValidation type="list" allowBlank="1" showInputMessage="1" showErrorMessage="1" sqref="E12">
      <formula1>Phases</formula1>
    </dataValidation>
    <dataValidation type="whole" allowBlank="1" showInputMessage="1" showErrorMessage="1" sqref="G12">
      <formula1>0</formula1>
      <formula2>100</formula2>
    </dataValidation>
    <dataValidation type="list" allowBlank="1" showInputMessage="1" showErrorMessage="1" sqref="E13">
      <formula1>Phases</formula1>
    </dataValidation>
    <dataValidation type="whole" allowBlank="1" showInputMessage="1" showErrorMessage="1" sqref="G13">
      <formula1>0</formula1>
      <formula2>100</formula2>
    </dataValidation>
    <dataValidation type="list" allowBlank="1" showInputMessage="1" showErrorMessage="1" sqref="E14">
      <formula1>Phases</formula1>
    </dataValidation>
    <dataValidation type="whole" allowBlank="1" showInputMessage="1" showErrorMessage="1" sqref="G14">
      <formula1>0</formula1>
      <formula2>100</formula2>
    </dataValidation>
    <dataValidation type="list" allowBlank="1" showInputMessage="1" showErrorMessage="1" sqref="E15">
      <formula1>Phases</formula1>
    </dataValidation>
    <dataValidation type="whole" allowBlank="1" showInputMessage="1" showErrorMessage="1" sqref="G15">
      <formula1>0</formula1>
      <formula2>100</formula2>
    </dataValidation>
    <dataValidation type="list" allowBlank="1" showInputMessage="1" showErrorMessage="1" sqref="E16">
      <formula1>Phases</formula1>
    </dataValidation>
    <dataValidation type="whole" allowBlank="1" showInputMessage="1" showErrorMessage="1" sqref="G16">
      <formula1>0</formula1>
      <formula2>100</formula2>
    </dataValidation>
    <dataValidation type="list" allowBlank="1" showInputMessage="1" showErrorMessage="1" sqref="E17">
      <formula1>Phases</formula1>
    </dataValidation>
    <dataValidation type="whole" allowBlank="1" showInputMessage="1" showErrorMessage="1" sqref="G17">
      <formula1>0</formula1>
      <formula2>100</formula2>
    </dataValidation>
    <dataValidation type="list" allowBlank="1" showInputMessage="1" showErrorMessage="1" sqref="E18">
      <formula1>Phases</formula1>
    </dataValidation>
    <dataValidation type="whole" allowBlank="1" showInputMessage="1" showErrorMessage="1" sqref="G18">
      <formula1>0</formula1>
      <formula2>100</formula2>
    </dataValidation>
    <dataValidation type="list" allowBlank="1" showInputMessage="1" showErrorMessage="1" sqref="E19">
      <formula1>Phases</formula1>
    </dataValidation>
    <dataValidation type="whole" allowBlank="1" showInputMessage="1" showErrorMessage="1" sqref="G19">
      <formula1>0</formula1>
      <formula2>100</formula2>
    </dataValidation>
    <dataValidation type="list" allowBlank="1" showInputMessage="1" showErrorMessage="1" sqref="E20">
      <formula1>Phases</formula1>
    </dataValidation>
    <dataValidation type="whole" allowBlank="1" showInputMessage="1" showErrorMessage="1" sqref="G20">
      <formula1>0</formula1>
      <formula2>100</formula2>
    </dataValidation>
    <dataValidation type="list" allowBlank="1" showInputMessage="1" showErrorMessage="1" sqref="E21">
      <formula1>Phases</formula1>
    </dataValidation>
    <dataValidation type="whole" allowBlank="1" showInputMessage="1" showErrorMessage="1" sqref="G21">
      <formula1>0</formula1>
      <formula2>100</formula2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1"/>
  <sheetViews>
    <sheetView workbookViewId="0"/>
  </sheetViews>
  <sheetFormatPr defaultRowHeight="15"/>
  <cols>
    <col min="1" max="1" width="26.7109375" customWidth="1"/>
    <col min="2" max="2" width="14.7109375" customWidth="1"/>
    <col min="3" max="3" width="16.7109375" customWidth="1"/>
  </cols>
  <sheetData>
    <row r="1" spans="1:3">
      <c r="A1" s="1" t="s">
        <v>74</v>
      </c>
      <c r="B1" s="1"/>
      <c r="C1" s="1"/>
    </row>
    <row r="3" spans="1:3">
      <c r="A3" s="10" t="s">
        <v>75</v>
      </c>
      <c r="B3" s="10" t="s">
        <v>76</v>
      </c>
      <c r="C3" s="10" t="s">
        <v>77</v>
      </c>
    </row>
    <row r="4" spans="1:3">
      <c r="A4" s="3" t="s">
        <v>78</v>
      </c>
      <c r="B4" s="5">
        <v>45915</v>
      </c>
      <c r="C4" s="14">
        <v>0.05</v>
      </c>
    </row>
    <row r="5" spans="1:3">
      <c r="A5" s="3" t="s">
        <v>79</v>
      </c>
      <c r="B5" s="5">
        <v>45930</v>
      </c>
      <c r="C5" s="14">
        <v>0.08</v>
      </c>
    </row>
    <row r="6" spans="1:3">
      <c r="A6" s="3" t="s">
        <v>80</v>
      </c>
      <c r="B6" s="5">
        <v>45955</v>
      </c>
      <c r="C6" s="14">
        <v>0.07000000000000001</v>
      </c>
    </row>
    <row r="7" spans="1:3">
      <c r="A7" s="3" t="s">
        <v>81</v>
      </c>
      <c r="B7" s="5">
        <v>45970</v>
      </c>
      <c r="C7" s="14">
        <v>0.07000000000000001</v>
      </c>
    </row>
    <row r="8" spans="1:3">
      <c r="A8" s="3" t="s">
        <v>82</v>
      </c>
      <c r="B8" s="5">
        <v>45990</v>
      </c>
      <c r="C8" s="14">
        <v>0.06</v>
      </c>
    </row>
    <row r="9" spans="1:3">
      <c r="A9" s="3" t="s">
        <v>83</v>
      </c>
      <c r="B9" s="5">
        <v>46005</v>
      </c>
      <c r="C9" s="14">
        <v>0.1</v>
      </c>
    </row>
    <row r="11" spans="1:3">
      <c r="A11" s="12" t="s">
        <v>84</v>
      </c>
      <c r="C11" s="15">
        <f>SUM(C4:C9)</f>
        <v>0</v>
      </c>
    </row>
  </sheetData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13"/>
  <sheetViews>
    <sheetView workbookViewId="0"/>
  </sheetViews>
  <sheetFormatPr defaultRowHeight="15"/>
  <cols>
    <col min="1" max="1" width="14.7109375" customWidth="1"/>
    <col min="2" max="6" width="18.7109375" customWidth="1"/>
  </cols>
  <sheetData>
    <row r="1" spans="1:6">
      <c r="A1" s="1" t="s">
        <v>85</v>
      </c>
      <c r="B1" s="1"/>
      <c r="C1" s="1"/>
      <c r="D1" s="1"/>
      <c r="E1" s="1"/>
      <c r="F1" s="1"/>
    </row>
    <row r="3" spans="1:6">
      <c r="A3" s="10" t="s">
        <v>76</v>
      </c>
      <c r="B3" s="10" t="s">
        <v>86</v>
      </c>
      <c r="C3" s="10" t="s">
        <v>87</v>
      </c>
      <c r="D3" s="10" t="s">
        <v>88</v>
      </c>
      <c r="E3" s="10" t="s">
        <v>89</v>
      </c>
      <c r="F3" s="10" t="s">
        <v>90</v>
      </c>
    </row>
    <row r="4" spans="1:6">
      <c r="A4" s="5">
        <f>StartDate+0</f>
        <v>0</v>
      </c>
      <c r="B4" s="11">
        <f>SUMPRODUCT(Taches!$F$2:$F$21*(A4&gt;=Taches!$C$2:$C$21)*(A4&lt;=Taches!$D$2:$D$21)*((A4-Taches!$C$2:$C$21+1)/(Taches!$D$2:$C$21*0+Taches!$D$2:$D$21-Taches!$C$2:$C$21+1)))+SUMPRODUCT(Taches!$F$2:$F$21*(A4&gt;Taches!$D$2:$D$21))</f>
        <v>0</v>
      </c>
      <c r="C4" s="11">
        <f>BAC_Total*SUMIF(Jalons!$B$4:$B$9,"&lt;="&amp;A4,Jalons!$C$4:$C$9)</f>
        <v>0</v>
      </c>
      <c r="D4" s="11">
        <f>B4+C4</f>
        <v>0</v>
      </c>
      <c r="E4" s="14">
        <f>IF(BAC_Total=0,"",D4/BAC_Total)</f>
        <v>0</v>
      </c>
      <c r="F4" s="11">
        <f>IF(row(A4)=4,0,D4-D3)</f>
        <v>0</v>
      </c>
    </row>
    <row r="5" spans="1:6">
      <c r="A5" s="5">
        <f>StartDate+1</f>
        <v>0</v>
      </c>
      <c r="B5" s="11">
        <f>SUMPRODUCT(Taches!$F$2:$F$21*(A5&gt;=Taches!$C$2:$C$21)*(A5&lt;=Taches!$D$2:$D$21)*((A5-Taches!$C$2:$C$21+1)/(Taches!$D$2:$C$21*0+Taches!$D$2:$D$21-Taches!$C$2:$C$21+1)))+SUMPRODUCT(Taches!$F$2:$F$21*(A5&gt;Taches!$D$2:$D$21))</f>
        <v>0</v>
      </c>
      <c r="C5" s="11">
        <f>BAC_Total*SUMIF(Jalons!$B$4:$B$9,"&lt;="&amp;A5,Jalons!$C$4:$C$9)</f>
        <v>0</v>
      </c>
      <c r="D5" s="11">
        <f>B5+C5</f>
        <v>0</v>
      </c>
      <c r="E5" s="14">
        <f>IF(BAC_Total=0,"",D5/BAC_Total)</f>
        <v>0</v>
      </c>
      <c r="F5" s="11">
        <f>IF(row(A5)=4,0,D5-D4)</f>
        <v>0</v>
      </c>
    </row>
    <row r="6" spans="1:6">
      <c r="A6" s="5">
        <f>StartDate+2</f>
        <v>0</v>
      </c>
      <c r="B6" s="11">
        <f>SUMPRODUCT(Taches!$F$2:$F$21*(A6&gt;=Taches!$C$2:$C$21)*(A6&lt;=Taches!$D$2:$D$21)*((A6-Taches!$C$2:$C$21+1)/(Taches!$D$2:$C$21*0+Taches!$D$2:$D$21-Taches!$C$2:$C$21+1)))+SUMPRODUCT(Taches!$F$2:$F$21*(A6&gt;Taches!$D$2:$D$21))</f>
        <v>0</v>
      </c>
      <c r="C6" s="11">
        <f>BAC_Total*SUMIF(Jalons!$B$4:$B$9,"&lt;="&amp;A6,Jalons!$C$4:$C$9)</f>
        <v>0</v>
      </c>
      <c r="D6" s="11">
        <f>B6+C6</f>
        <v>0</v>
      </c>
      <c r="E6" s="14">
        <f>IF(BAC_Total=0,"",D6/BAC_Total)</f>
        <v>0</v>
      </c>
      <c r="F6" s="11">
        <f>IF(row(A6)=4,0,D6-D5)</f>
        <v>0</v>
      </c>
    </row>
    <row r="7" spans="1:6">
      <c r="A7" s="5">
        <f>StartDate+3</f>
        <v>0</v>
      </c>
      <c r="B7" s="11">
        <f>SUMPRODUCT(Taches!$F$2:$F$21*(A7&gt;=Taches!$C$2:$C$21)*(A7&lt;=Taches!$D$2:$D$21)*((A7-Taches!$C$2:$C$21+1)/(Taches!$D$2:$C$21*0+Taches!$D$2:$D$21-Taches!$C$2:$C$21+1)))+SUMPRODUCT(Taches!$F$2:$F$21*(A7&gt;Taches!$D$2:$D$21))</f>
        <v>0</v>
      </c>
      <c r="C7" s="11">
        <f>BAC_Total*SUMIF(Jalons!$B$4:$B$9,"&lt;="&amp;A7,Jalons!$C$4:$C$9)</f>
        <v>0</v>
      </c>
      <c r="D7" s="11">
        <f>B7+C7</f>
        <v>0</v>
      </c>
      <c r="E7" s="14">
        <f>IF(BAC_Total=0,"",D7/BAC_Total)</f>
        <v>0</v>
      </c>
      <c r="F7" s="11">
        <f>IF(row(A7)=4,0,D7-D6)</f>
        <v>0</v>
      </c>
    </row>
    <row r="8" spans="1:6">
      <c r="A8" s="5">
        <f>StartDate+4</f>
        <v>0</v>
      </c>
      <c r="B8" s="11">
        <f>SUMPRODUCT(Taches!$F$2:$F$21*(A8&gt;=Taches!$C$2:$C$21)*(A8&lt;=Taches!$D$2:$D$21)*((A8-Taches!$C$2:$C$21+1)/(Taches!$D$2:$C$21*0+Taches!$D$2:$D$21-Taches!$C$2:$C$21+1)))+SUMPRODUCT(Taches!$F$2:$F$21*(A8&gt;Taches!$D$2:$D$21))</f>
        <v>0</v>
      </c>
      <c r="C8" s="11">
        <f>BAC_Total*SUMIF(Jalons!$B$4:$B$9,"&lt;="&amp;A8,Jalons!$C$4:$C$9)</f>
        <v>0</v>
      </c>
      <c r="D8" s="11">
        <f>B8+C8</f>
        <v>0</v>
      </c>
      <c r="E8" s="14">
        <f>IF(BAC_Total=0,"",D8/BAC_Total)</f>
        <v>0</v>
      </c>
      <c r="F8" s="11">
        <f>IF(row(A8)=4,0,D8-D7)</f>
        <v>0</v>
      </c>
    </row>
    <row r="9" spans="1:6">
      <c r="A9" s="5">
        <f>StartDate+5</f>
        <v>0</v>
      </c>
      <c r="B9" s="11">
        <f>SUMPRODUCT(Taches!$F$2:$F$21*(A9&gt;=Taches!$C$2:$C$21)*(A9&lt;=Taches!$D$2:$D$21)*((A9-Taches!$C$2:$C$21+1)/(Taches!$D$2:$C$21*0+Taches!$D$2:$D$21-Taches!$C$2:$C$21+1)))+SUMPRODUCT(Taches!$F$2:$F$21*(A9&gt;Taches!$D$2:$D$21))</f>
        <v>0</v>
      </c>
      <c r="C9" s="11">
        <f>BAC_Total*SUMIF(Jalons!$B$4:$B$9,"&lt;="&amp;A9,Jalons!$C$4:$C$9)</f>
        <v>0</v>
      </c>
      <c r="D9" s="11">
        <f>B9+C9</f>
        <v>0</v>
      </c>
      <c r="E9" s="14">
        <f>IF(BAC_Total=0,"",D9/BAC_Total)</f>
        <v>0</v>
      </c>
      <c r="F9" s="11">
        <f>IF(row(A9)=4,0,D9-D8)</f>
        <v>0</v>
      </c>
    </row>
    <row r="10" spans="1:6">
      <c r="A10" s="5">
        <f>StartDate+6</f>
        <v>0</v>
      </c>
      <c r="B10" s="11">
        <f>SUMPRODUCT(Taches!$F$2:$F$21*(A10&gt;=Taches!$C$2:$C$21)*(A10&lt;=Taches!$D$2:$D$21)*((A10-Taches!$C$2:$C$21+1)/(Taches!$D$2:$C$21*0+Taches!$D$2:$D$21-Taches!$C$2:$C$21+1)))+SUMPRODUCT(Taches!$F$2:$F$21*(A10&gt;Taches!$D$2:$D$21))</f>
        <v>0</v>
      </c>
      <c r="C10" s="11">
        <f>BAC_Total*SUMIF(Jalons!$B$4:$B$9,"&lt;="&amp;A10,Jalons!$C$4:$C$9)</f>
        <v>0</v>
      </c>
      <c r="D10" s="11">
        <f>B10+C10</f>
        <v>0</v>
      </c>
      <c r="E10" s="14">
        <f>IF(BAC_Total=0,"",D10/BAC_Total)</f>
        <v>0</v>
      </c>
      <c r="F10" s="11">
        <f>IF(row(A10)=4,0,D10-D9)</f>
        <v>0</v>
      </c>
    </row>
    <row r="11" spans="1:6">
      <c r="A11" s="5">
        <f>StartDate+7</f>
        <v>0</v>
      </c>
      <c r="B11" s="11">
        <f>SUMPRODUCT(Taches!$F$2:$F$21*(A11&gt;=Taches!$C$2:$C$21)*(A11&lt;=Taches!$D$2:$D$21)*((A11-Taches!$C$2:$C$21+1)/(Taches!$D$2:$C$21*0+Taches!$D$2:$D$21-Taches!$C$2:$C$21+1)))+SUMPRODUCT(Taches!$F$2:$F$21*(A11&gt;Taches!$D$2:$D$21))</f>
        <v>0</v>
      </c>
      <c r="C11" s="11">
        <f>BAC_Total*SUMIF(Jalons!$B$4:$B$9,"&lt;="&amp;A11,Jalons!$C$4:$C$9)</f>
        <v>0</v>
      </c>
      <c r="D11" s="11">
        <f>B11+C11</f>
        <v>0</v>
      </c>
      <c r="E11" s="14">
        <f>IF(BAC_Total=0,"",D11/BAC_Total)</f>
        <v>0</v>
      </c>
      <c r="F11" s="11">
        <f>IF(row(A11)=4,0,D11-D10)</f>
        <v>0</v>
      </c>
    </row>
    <row r="12" spans="1:6">
      <c r="A12" s="5">
        <f>StartDate+8</f>
        <v>0</v>
      </c>
      <c r="B12" s="11">
        <f>SUMPRODUCT(Taches!$F$2:$F$21*(A12&gt;=Taches!$C$2:$C$21)*(A12&lt;=Taches!$D$2:$D$21)*((A12-Taches!$C$2:$C$21+1)/(Taches!$D$2:$C$21*0+Taches!$D$2:$D$21-Taches!$C$2:$C$21+1)))+SUMPRODUCT(Taches!$F$2:$F$21*(A12&gt;Taches!$D$2:$D$21))</f>
        <v>0</v>
      </c>
      <c r="C12" s="11">
        <f>BAC_Total*SUMIF(Jalons!$B$4:$B$9,"&lt;="&amp;A12,Jalons!$C$4:$C$9)</f>
        <v>0</v>
      </c>
      <c r="D12" s="11">
        <f>B12+C12</f>
        <v>0</v>
      </c>
      <c r="E12" s="14">
        <f>IF(BAC_Total=0,"",D12/BAC_Total)</f>
        <v>0</v>
      </c>
      <c r="F12" s="11">
        <f>IF(row(A12)=4,0,D12-D11)</f>
        <v>0</v>
      </c>
    </row>
    <row r="13" spans="1:6">
      <c r="A13" s="5">
        <f>StartDate+9</f>
        <v>0</v>
      </c>
      <c r="B13" s="11">
        <f>SUMPRODUCT(Taches!$F$2:$F$21*(A13&gt;=Taches!$C$2:$C$21)*(A13&lt;=Taches!$D$2:$D$21)*((A13-Taches!$C$2:$C$21+1)/(Taches!$D$2:$C$21*0+Taches!$D$2:$D$21-Taches!$C$2:$C$21+1)))+SUMPRODUCT(Taches!$F$2:$F$21*(A13&gt;Taches!$D$2:$D$21))</f>
        <v>0</v>
      </c>
      <c r="C13" s="11">
        <f>BAC_Total*SUMIF(Jalons!$B$4:$B$9,"&lt;="&amp;A13,Jalons!$C$4:$C$9)</f>
        <v>0</v>
      </c>
      <c r="D13" s="11">
        <f>B13+C13</f>
        <v>0</v>
      </c>
      <c r="E13" s="14">
        <f>IF(BAC_Total=0,"",D13/BAC_Total)</f>
        <v>0</v>
      </c>
      <c r="F13" s="11">
        <f>IF(row(A13)=4,0,D13-D12)</f>
        <v>0</v>
      </c>
    </row>
    <row r="14" spans="1:6">
      <c r="A14" s="5">
        <f>StartDate+10</f>
        <v>0</v>
      </c>
      <c r="B14" s="11">
        <f>SUMPRODUCT(Taches!$F$2:$F$21*(A14&gt;=Taches!$C$2:$C$21)*(A14&lt;=Taches!$D$2:$D$21)*((A14-Taches!$C$2:$C$21+1)/(Taches!$D$2:$C$21*0+Taches!$D$2:$D$21-Taches!$C$2:$C$21+1)))+SUMPRODUCT(Taches!$F$2:$F$21*(A14&gt;Taches!$D$2:$D$21))</f>
        <v>0</v>
      </c>
      <c r="C14" s="11">
        <f>BAC_Total*SUMIF(Jalons!$B$4:$B$9,"&lt;="&amp;A14,Jalons!$C$4:$C$9)</f>
        <v>0</v>
      </c>
      <c r="D14" s="11">
        <f>B14+C14</f>
        <v>0</v>
      </c>
      <c r="E14" s="14">
        <f>IF(BAC_Total=0,"",D14/BAC_Total)</f>
        <v>0</v>
      </c>
      <c r="F14" s="11">
        <f>IF(row(A14)=4,0,D14-D13)</f>
        <v>0</v>
      </c>
    </row>
    <row r="15" spans="1:6">
      <c r="A15" s="5">
        <f>StartDate+11</f>
        <v>0</v>
      </c>
      <c r="B15" s="11">
        <f>SUMPRODUCT(Taches!$F$2:$F$21*(A15&gt;=Taches!$C$2:$C$21)*(A15&lt;=Taches!$D$2:$D$21)*((A15-Taches!$C$2:$C$21+1)/(Taches!$D$2:$C$21*0+Taches!$D$2:$D$21-Taches!$C$2:$C$21+1)))+SUMPRODUCT(Taches!$F$2:$F$21*(A15&gt;Taches!$D$2:$D$21))</f>
        <v>0</v>
      </c>
      <c r="C15" s="11">
        <f>BAC_Total*SUMIF(Jalons!$B$4:$B$9,"&lt;="&amp;A15,Jalons!$C$4:$C$9)</f>
        <v>0</v>
      </c>
      <c r="D15" s="11">
        <f>B15+C15</f>
        <v>0</v>
      </c>
      <c r="E15" s="14">
        <f>IF(BAC_Total=0,"",D15/BAC_Total)</f>
        <v>0</v>
      </c>
      <c r="F15" s="11">
        <f>IF(row(A15)=4,0,D15-D14)</f>
        <v>0</v>
      </c>
    </row>
    <row r="16" spans="1:6">
      <c r="A16" s="5">
        <f>StartDate+12</f>
        <v>0</v>
      </c>
      <c r="B16" s="11">
        <f>SUMPRODUCT(Taches!$F$2:$F$21*(A16&gt;=Taches!$C$2:$C$21)*(A16&lt;=Taches!$D$2:$D$21)*((A16-Taches!$C$2:$C$21+1)/(Taches!$D$2:$C$21*0+Taches!$D$2:$D$21-Taches!$C$2:$C$21+1)))+SUMPRODUCT(Taches!$F$2:$F$21*(A16&gt;Taches!$D$2:$D$21))</f>
        <v>0</v>
      </c>
      <c r="C16" s="11">
        <f>BAC_Total*SUMIF(Jalons!$B$4:$B$9,"&lt;="&amp;A16,Jalons!$C$4:$C$9)</f>
        <v>0</v>
      </c>
      <c r="D16" s="11">
        <f>B16+C16</f>
        <v>0</v>
      </c>
      <c r="E16" s="14">
        <f>IF(BAC_Total=0,"",D16/BAC_Total)</f>
        <v>0</v>
      </c>
      <c r="F16" s="11">
        <f>IF(row(A16)=4,0,D16-D15)</f>
        <v>0</v>
      </c>
    </row>
    <row r="17" spans="1:6">
      <c r="A17" s="5">
        <f>StartDate+13</f>
        <v>0</v>
      </c>
      <c r="B17" s="11">
        <f>SUMPRODUCT(Taches!$F$2:$F$21*(A17&gt;=Taches!$C$2:$C$21)*(A17&lt;=Taches!$D$2:$D$21)*((A17-Taches!$C$2:$C$21+1)/(Taches!$D$2:$C$21*0+Taches!$D$2:$D$21-Taches!$C$2:$C$21+1)))+SUMPRODUCT(Taches!$F$2:$F$21*(A17&gt;Taches!$D$2:$D$21))</f>
        <v>0</v>
      </c>
      <c r="C17" s="11">
        <f>BAC_Total*SUMIF(Jalons!$B$4:$B$9,"&lt;="&amp;A17,Jalons!$C$4:$C$9)</f>
        <v>0</v>
      </c>
      <c r="D17" s="11">
        <f>B17+C17</f>
        <v>0</v>
      </c>
      <c r="E17" s="14">
        <f>IF(BAC_Total=0,"",D17/BAC_Total)</f>
        <v>0</v>
      </c>
      <c r="F17" s="11">
        <f>IF(row(A17)=4,0,D17-D16)</f>
        <v>0</v>
      </c>
    </row>
    <row r="18" spans="1:6">
      <c r="A18" s="5">
        <f>StartDate+14</f>
        <v>0</v>
      </c>
      <c r="B18" s="11">
        <f>SUMPRODUCT(Taches!$F$2:$F$21*(A18&gt;=Taches!$C$2:$C$21)*(A18&lt;=Taches!$D$2:$D$21)*((A18-Taches!$C$2:$C$21+1)/(Taches!$D$2:$C$21*0+Taches!$D$2:$D$21-Taches!$C$2:$C$21+1)))+SUMPRODUCT(Taches!$F$2:$F$21*(A18&gt;Taches!$D$2:$D$21))</f>
        <v>0</v>
      </c>
      <c r="C18" s="11">
        <f>BAC_Total*SUMIF(Jalons!$B$4:$B$9,"&lt;="&amp;A18,Jalons!$C$4:$C$9)</f>
        <v>0</v>
      </c>
      <c r="D18" s="11">
        <f>B18+C18</f>
        <v>0</v>
      </c>
      <c r="E18" s="14">
        <f>IF(BAC_Total=0,"",D18/BAC_Total)</f>
        <v>0</v>
      </c>
      <c r="F18" s="11">
        <f>IF(row(A18)=4,0,D18-D17)</f>
        <v>0</v>
      </c>
    </row>
    <row r="19" spans="1:6">
      <c r="A19" s="5">
        <f>StartDate+15</f>
        <v>0</v>
      </c>
      <c r="B19" s="11">
        <f>SUMPRODUCT(Taches!$F$2:$F$21*(A19&gt;=Taches!$C$2:$C$21)*(A19&lt;=Taches!$D$2:$D$21)*((A19-Taches!$C$2:$C$21+1)/(Taches!$D$2:$C$21*0+Taches!$D$2:$D$21-Taches!$C$2:$C$21+1)))+SUMPRODUCT(Taches!$F$2:$F$21*(A19&gt;Taches!$D$2:$D$21))</f>
        <v>0</v>
      </c>
      <c r="C19" s="11">
        <f>BAC_Total*SUMIF(Jalons!$B$4:$B$9,"&lt;="&amp;A19,Jalons!$C$4:$C$9)</f>
        <v>0</v>
      </c>
      <c r="D19" s="11">
        <f>B19+C19</f>
        <v>0</v>
      </c>
      <c r="E19" s="14">
        <f>IF(BAC_Total=0,"",D19/BAC_Total)</f>
        <v>0</v>
      </c>
      <c r="F19" s="11">
        <f>IF(row(A19)=4,0,D19-D18)</f>
        <v>0</v>
      </c>
    </row>
    <row r="20" spans="1:6">
      <c r="A20" s="5">
        <f>StartDate+16</f>
        <v>0</v>
      </c>
      <c r="B20" s="11">
        <f>SUMPRODUCT(Taches!$F$2:$F$21*(A20&gt;=Taches!$C$2:$C$21)*(A20&lt;=Taches!$D$2:$D$21)*((A20-Taches!$C$2:$C$21+1)/(Taches!$D$2:$C$21*0+Taches!$D$2:$D$21-Taches!$C$2:$C$21+1)))+SUMPRODUCT(Taches!$F$2:$F$21*(A20&gt;Taches!$D$2:$D$21))</f>
        <v>0</v>
      </c>
      <c r="C20" s="11">
        <f>BAC_Total*SUMIF(Jalons!$B$4:$B$9,"&lt;="&amp;A20,Jalons!$C$4:$C$9)</f>
        <v>0</v>
      </c>
      <c r="D20" s="11">
        <f>B20+C20</f>
        <v>0</v>
      </c>
      <c r="E20" s="14">
        <f>IF(BAC_Total=0,"",D20/BAC_Total)</f>
        <v>0</v>
      </c>
      <c r="F20" s="11">
        <f>IF(row(A20)=4,0,D20-D19)</f>
        <v>0</v>
      </c>
    </row>
    <row r="21" spans="1:6">
      <c r="A21" s="5">
        <f>StartDate+17</f>
        <v>0</v>
      </c>
      <c r="B21" s="11">
        <f>SUMPRODUCT(Taches!$F$2:$F$21*(A21&gt;=Taches!$C$2:$C$21)*(A21&lt;=Taches!$D$2:$D$21)*((A21-Taches!$C$2:$C$21+1)/(Taches!$D$2:$C$21*0+Taches!$D$2:$D$21-Taches!$C$2:$C$21+1)))+SUMPRODUCT(Taches!$F$2:$F$21*(A21&gt;Taches!$D$2:$D$21))</f>
        <v>0</v>
      </c>
      <c r="C21" s="11">
        <f>BAC_Total*SUMIF(Jalons!$B$4:$B$9,"&lt;="&amp;A21,Jalons!$C$4:$C$9)</f>
        <v>0</v>
      </c>
      <c r="D21" s="11">
        <f>B21+C21</f>
        <v>0</v>
      </c>
      <c r="E21" s="14">
        <f>IF(BAC_Total=0,"",D21/BAC_Total)</f>
        <v>0</v>
      </c>
      <c r="F21" s="11">
        <f>IF(row(A21)=4,0,D21-D20)</f>
        <v>0</v>
      </c>
    </row>
    <row r="22" spans="1:6">
      <c r="A22" s="5">
        <f>StartDate+18</f>
        <v>0</v>
      </c>
      <c r="B22" s="11">
        <f>SUMPRODUCT(Taches!$F$2:$F$21*(A22&gt;=Taches!$C$2:$C$21)*(A22&lt;=Taches!$D$2:$D$21)*((A22-Taches!$C$2:$C$21+1)/(Taches!$D$2:$C$21*0+Taches!$D$2:$D$21-Taches!$C$2:$C$21+1)))+SUMPRODUCT(Taches!$F$2:$F$21*(A22&gt;Taches!$D$2:$D$21))</f>
        <v>0</v>
      </c>
      <c r="C22" s="11">
        <f>BAC_Total*SUMIF(Jalons!$B$4:$B$9,"&lt;="&amp;A22,Jalons!$C$4:$C$9)</f>
        <v>0</v>
      </c>
      <c r="D22" s="11">
        <f>B22+C22</f>
        <v>0</v>
      </c>
      <c r="E22" s="14">
        <f>IF(BAC_Total=0,"",D22/BAC_Total)</f>
        <v>0</v>
      </c>
      <c r="F22" s="11">
        <f>IF(row(A22)=4,0,D22-D21)</f>
        <v>0</v>
      </c>
    </row>
    <row r="23" spans="1:6">
      <c r="A23" s="5">
        <f>StartDate+19</f>
        <v>0</v>
      </c>
      <c r="B23" s="11">
        <f>SUMPRODUCT(Taches!$F$2:$F$21*(A23&gt;=Taches!$C$2:$C$21)*(A23&lt;=Taches!$D$2:$D$21)*((A23-Taches!$C$2:$C$21+1)/(Taches!$D$2:$C$21*0+Taches!$D$2:$D$21-Taches!$C$2:$C$21+1)))+SUMPRODUCT(Taches!$F$2:$F$21*(A23&gt;Taches!$D$2:$D$21))</f>
        <v>0</v>
      </c>
      <c r="C23" s="11">
        <f>BAC_Total*SUMIF(Jalons!$B$4:$B$9,"&lt;="&amp;A23,Jalons!$C$4:$C$9)</f>
        <v>0</v>
      </c>
      <c r="D23" s="11">
        <f>B23+C23</f>
        <v>0</v>
      </c>
      <c r="E23" s="14">
        <f>IF(BAC_Total=0,"",D23/BAC_Total)</f>
        <v>0</v>
      </c>
      <c r="F23" s="11">
        <f>IF(row(A23)=4,0,D23-D22)</f>
        <v>0</v>
      </c>
    </row>
    <row r="24" spans="1:6">
      <c r="A24" s="5">
        <f>StartDate+20</f>
        <v>0</v>
      </c>
      <c r="B24" s="11">
        <f>SUMPRODUCT(Taches!$F$2:$F$21*(A24&gt;=Taches!$C$2:$C$21)*(A24&lt;=Taches!$D$2:$D$21)*((A24-Taches!$C$2:$C$21+1)/(Taches!$D$2:$C$21*0+Taches!$D$2:$D$21-Taches!$C$2:$C$21+1)))+SUMPRODUCT(Taches!$F$2:$F$21*(A24&gt;Taches!$D$2:$D$21))</f>
        <v>0</v>
      </c>
      <c r="C24" s="11">
        <f>BAC_Total*SUMIF(Jalons!$B$4:$B$9,"&lt;="&amp;A24,Jalons!$C$4:$C$9)</f>
        <v>0</v>
      </c>
      <c r="D24" s="11">
        <f>B24+C24</f>
        <v>0</v>
      </c>
      <c r="E24" s="14">
        <f>IF(BAC_Total=0,"",D24/BAC_Total)</f>
        <v>0</v>
      </c>
      <c r="F24" s="11">
        <f>IF(row(A24)=4,0,D24-D23)</f>
        <v>0</v>
      </c>
    </row>
    <row r="25" spans="1:6">
      <c r="A25" s="5">
        <f>StartDate+21</f>
        <v>0</v>
      </c>
      <c r="B25" s="11">
        <f>SUMPRODUCT(Taches!$F$2:$F$21*(A25&gt;=Taches!$C$2:$C$21)*(A25&lt;=Taches!$D$2:$D$21)*((A25-Taches!$C$2:$C$21+1)/(Taches!$D$2:$C$21*0+Taches!$D$2:$D$21-Taches!$C$2:$C$21+1)))+SUMPRODUCT(Taches!$F$2:$F$21*(A25&gt;Taches!$D$2:$D$21))</f>
        <v>0</v>
      </c>
      <c r="C25" s="11">
        <f>BAC_Total*SUMIF(Jalons!$B$4:$B$9,"&lt;="&amp;A25,Jalons!$C$4:$C$9)</f>
        <v>0</v>
      </c>
      <c r="D25" s="11">
        <f>B25+C25</f>
        <v>0</v>
      </c>
      <c r="E25" s="14">
        <f>IF(BAC_Total=0,"",D25/BAC_Total)</f>
        <v>0</v>
      </c>
      <c r="F25" s="11">
        <f>IF(row(A25)=4,0,D25-D24)</f>
        <v>0</v>
      </c>
    </row>
    <row r="26" spans="1:6">
      <c r="A26" s="5">
        <f>StartDate+22</f>
        <v>0</v>
      </c>
      <c r="B26" s="11">
        <f>SUMPRODUCT(Taches!$F$2:$F$21*(A26&gt;=Taches!$C$2:$C$21)*(A26&lt;=Taches!$D$2:$D$21)*((A26-Taches!$C$2:$C$21+1)/(Taches!$D$2:$C$21*0+Taches!$D$2:$D$21-Taches!$C$2:$C$21+1)))+SUMPRODUCT(Taches!$F$2:$F$21*(A26&gt;Taches!$D$2:$D$21))</f>
        <v>0</v>
      </c>
      <c r="C26" s="11">
        <f>BAC_Total*SUMIF(Jalons!$B$4:$B$9,"&lt;="&amp;A26,Jalons!$C$4:$C$9)</f>
        <v>0</v>
      </c>
      <c r="D26" s="11">
        <f>B26+C26</f>
        <v>0</v>
      </c>
      <c r="E26" s="14">
        <f>IF(BAC_Total=0,"",D26/BAC_Total)</f>
        <v>0</v>
      </c>
      <c r="F26" s="11">
        <f>IF(row(A26)=4,0,D26-D25)</f>
        <v>0</v>
      </c>
    </row>
    <row r="27" spans="1:6">
      <c r="A27" s="5">
        <f>StartDate+23</f>
        <v>0</v>
      </c>
      <c r="B27" s="11">
        <f>SUMPRODUCT(Taches!$F$2:$F$21*(A27&gt;=Taches!$C$2:$C$21)*(A27&lt;=Taches!$D$2:$D$21)*((A27-Taches!$C$2:$C$21+1)/(Taches!$D$2:$C$21*0+Taches!$D$2:$D$21-Taches!$C$2:$C$21+1)))+SUMPRODUCT(Taches!$F$2:$F$21*(A27&gt;Taches!$D$2:$D$21))</f>
        <v>0</v>
      </c>
      <c r="C27" s="11">
        <f>BAC_Total*SUMIF(Jalons!$B$4:$B$9,"&lt;="&amp;A27,Jalons!$C$4:$C$9)</f>
        <v>0</v>
      </c>
      <c r="D27" s="11">
        <f>B27+C27</f>
        <v>0</v>
      </c>
      <c r="E27" s="14">
        <f>IF(BAC_Total=0,"",D27/BAC_Total)</f>
        <v>0</v>
      </c>
      <c r="F27" s="11">
        <f>IF(row(A27)=4,0,D27-D26)</f>
        <v>0</v>
      </c>
    </row>
    <row r="28" spans="1:6">
      <c r="A28" s="5">
        <f>StartDate+24</f>
        <v>0</v>
      </c>
      <c r="B28" s="11">
        <f>SUMPRODUCT(Taches!$F$2:$F$21*(A28&gt;=Taches!$C$2:$C$21)*(A28&lt;=Taches!$D$2:$D$21)*((A28-Taches!$C$2:$C$21+1)/(Taches!$D$2:$C$21*0+Taches!$D$2:$D$21-Taches!$C$2:$C$21+1)))+SUMPRODUCT(Taches!$F$2:$F$21*(A28&gt;Taches!$D$2:$D$21))</f>
        <v>0</v>
      </c>
      <c r="C28" s="11">
        <f>BAC_Total*SUMIF(Jalons!$B$4:$B$9,"&lt;="&amp;A28,Jalons!$C$4:$C$9)</f>
        <v>0</v>
      </c>
      <c r="D28" s="11">
        <f>B28+C28</f>
        <v>0</v>
      </c>
      <c r="E28" s="14">
        <f>IF(BAC_Total=0,"",D28/BAC_Total)</f>
        <v>0</v>
      </c>
      <c r="F28" s="11">
        <f>IF(row(A28)=4,0,D28-D27)</f>
        <v>0</v>
      </c>
    </row>
    <row r="29" spans="1:6">
      <c r="A29" s="5">
        <f>StartDate+25</f>
        <v>0</v>
      </c>
      <c r="B29" s="11">
        <f>SUMPRODUCT(Taches!$F$2:$F$21*(A29&gt;=Taches!$C$2:$C$21)*(A29&lt;=Taches!$D$2:$D$21)*((A29-Taches!$C$2:$C$21+1)/(Taches!$D$2:$C$21*0+Taches!$D$2:$D$21-Taches!$C$2:$C$21+1)))+SUMPRODUCT(Taches!$F$2:$F$21*(A29&gt;Taches!$D$2:$D$21))</f>
        <v>0</v>
      </c>
      <c r="C29" s="11">
        <f>BAC_Total*SUMIF(Jalons!$B$4:$B$9,"&lt;="&amp;A29,Jalons!$C$4:$C$9)</f>
        <v>0</v>
      </c>
      <c r="D29" s="11">
        <f>B29+C29</f>
        <v>0</v>
      </c>
      <c r="E29" s="14">
        <f>IF(BAC_Total=0,"",D29/BAC_Total)</f>
        <v>0</v>
      </c>
      <c r="F29" s="11">
        <f>IF(row(A29)=4,0,D29-D28)</f>
        <v>0</v>
      </c>
    </row>
    <row r="30" spans="1:6">
      <c r="A30" s="5">
        <f>StartDate+26</f>
        <v>0</v>
      </c>
      <c r="B30" s="11">
        <f>SUMPRODUCT(Taches!$F$2:$F$21*(A30&gt;=Taches!$C$2:$C$21)*(A30&lt;=Taches!$D$2:$D$21)*((A30-Taches!$C$2:$C$21+1)/(Taches!$D$2:$C$21*0+Taches!$D$2:$D$21-Taches!$C$2:$C$21+1)))+SUMPRODUCT(Taches!$F$2:$F$21*(A30&gt;Taches!$D$2:$D$21))</f>
        <v>0</v>
      </c>
      <c r="C30" s="11">
        <f>BAC_Total*SUMIF(Jalons!$B$4:$B$9,"&lt;="&amp;A30,Jalons!$C$4:$C$9)</f>
        <v>0</v>
      </c>
      <c r="D30" s="11">
        <f>B30+C30</f>
        <v>0</v>
      </c>
      <c r="E30" s="14">
        <f>IF(BAC_Total=0,"",D30/BAC_Total)</f>
        <v>0</v>
      </c>
      <c r="F30" s="11">
        <f>IF(row(A30)=4,0,D30-D29)</f>
        <v>0</v>
      </c>
    </row>
    <row r="31" spans="1:6">
      <c r="A31" s="5">
        <f>StartDate+27</f>
        <v>0</v>
      </c>
      <c r="B31" s="11">
        <f>SUMPRODUCT(Taches!$F$2:$F$21*(A31&gt;=Taches!$C$2:$C$21)*(A31&lt;=Taches!$D$2:$D$21)*((A31-Taches!$C$2:$C$21+1)/(Taches!$D$2:$C$21*0+Taches!$D$2:$D$21-Taches!$C$2:$C$21+1)))+SUMPRODUCT(Taches!$F$2:$F$21*(A31&gt;Taches!$D$2:$D$21))</f>
        <v>0</v>
      </c>
      <c r="C31" s="11">
        <f>BAC_Total*SUMIF(Jalons!$B$4:$B$9,"&lt;="&amp;A31,Jalons!$C$4:$C$9)</f>
        <v>0</v>
      </c>
      <c r="D31" s="11">
        <f>B31+C31</f>
        <v>0</v>
      </c>
      <c r="E31" s="14">
        <f>IF(BAC_Total=0,"",D31/BAC_Total)</f>
        <v>0</v>
      </c>
      <c r="F31" s="11">
        <f>IF(row(A31)=4,0,D31-D30)</f>
        <v>0</v>
      </c>
    </row>
    <row r="32" spans="1:6">
      <c r="A32" s="5">
        <f>StartDate+28</f>
        <v>0</v>
      </c>
      <c r="B32" s="11">
        <f>SUMPRODUCT(Taches!$F$2:$F$21*(A32&gt;=Taches!$C$2:$C$21)*(A32&lt;=Taches!$D$2:$D$21)*((A32-Taches!$C$2:$C$21+1)/(Taches!$D$2:$C$21*0+Taches!$D$2:$D$21-Taches!$C$2:$C$21+1)))+SUMPRODUCT(Taches!$F$2:$F$21*(A32&gt;Taches!$D$2:$D$21))</f>
        <v>0</v>
      </c>
      <c r="C32" s="11">
        <f>BAC_Total*SUMIF(Jalons!$B$4:$B$9,"&lt;="&amp;A32,Jalons!$C$4:$C$9)</f>
        <v>0</v>
      </c>
      <c r="D32" s="11">
        <f>B32+C32</f>
        <v>0</v>
      </c>
      <c r="E32" s="14">
        <f>IF(BAC_Total=0,"",D32/BAC_Total)</f>
        <v>0</v>
      </c>
      <c r="F32" s="11">
        <f>IF(row(A32)=4,0,D32-D31)</f>
        <v>0</v>
      </c>
    </row>
    <row r="33" spans="1:6">
      <c r="A33" s="5">
        <f>StartDate+29</f>
        <v>0</v>
      </c>
      <c r="B33" s="11">
        <f>SUMPRODUCT(Taches!$F$2:$F$21*(A33&gt;=Taches!$C$2:$C$21)*(A33&lt;=Taches!$D$2:$D$21)*((A33-Taches!$C$2:$C$21+1)/(Taches!$D$2:$C$21*0+Taches!$D$2:$D$21-Taches!$C$2:$C$21+1)))+SUMPRODUCT(Taches!$F$2:$F$21*(A33&gt;Taches!$D$2:$D$21))</f>
        <v>0</v>
      </c>
      <c r="C33" s="11">
        <f>BAC_Total*SUMIF(Jalons!$B$4:$B$9,"&lt;="&amp;A33,Jalons!$C$4:$C$9)</f>
        <v>0</v>
      </c>
      <c r="D33" s="11">
        <f>B33+C33</f>
        <v>0</v>
      </c>
      <c r="E33" s="14">
        <f>IF(BAC_Total=0,"",D33/BAC_Total)</f>
        <v>0</v>
      </c>
      <c r="F33" s="11">
        <f>IF(row(A33)=4,0,D33-D32)</f>
        <v>0</v>
      </c>
    </row>
    <row r="34" spans="1:6">
      <c r="A34" s="5">
        <f>StartDate+30</f>
        <v>0</v>
      </c>
      <c r="B34" s="11">
        <f>SUMPRODUCT(Taches!$F$2:$F$21*(A34&gt;=Taches!$C$2:$C$21)*(A34&lt;=Taches!$D$2:$D$21)*((A34-Taches!$C$2:$C$21+1)/(Taches!$D$2:$C$21*0+Taches!$D$2:$D$21-Taches!$C$2:$C$21+1)))+SUMPRODUCT(Taches!$F$2:$F$21*(A34&gt;Taches!$D$2:$D$21))</f>
        <v>0</v>
      </c>
      <c r="C34" s="11">
        <f>BAC_Total*SUMIF(Jalons!$B$4:$B$9,"&lt;="&amp;A34,Jalons!$C$4:$C$9)</f>
        <v>0</v>
      </c>
      <c r="D34" s="11">
        <f>B34+C34</f>
        <v>0</v>
      </c>
      <c r="E34" s="14">
        <f>IF(BAC_Total=0,"",D34/BAC_Total)</f>
        <v>0</v>
      </c>
      <c r="F34" s="11">
        <f>IF(row(A34)=4,0,D34-D33)</f>
        <v>0</v>
      </c>
    </row>
    <row r="35" spans="1:6">
      <c r="A35" s="5">
        <f>StartDate+31</f>
        <v>0</v>
      </c>
      <c r="B35" s="11">
        <f>SUMPRODUCT(Taches!$F$2:$F$21*(A35&gt;=Taches!$C$2:$C$21)*(A35&lt;=Taches!$D$2:$D$21)*((A35-Taches!$C$2:$C$21+1)/(Taches!$D$2:$C$21*0+Taches!$D$2:$D$21-Taches!$C$2:$C$21+1)))+SUMPRODUCT(Taches!$F$2:$F$21*(A35&gt;Taches!$D$2:$D$21))</f>
        <v>0</v>
      </c>
      <c r="C35" s="11">
        <f>BAC_Total*SUMIF(Jalons!$B$4:$B$9,"&lt;="&amp;A35,Jalons!$C$4:$C$9)</f>
        <v>0</v>
      </c>
      <c r="D35" s="11">
        <f>B35+C35</f>
        <v>0</v>
      </c>
      <c r="E35" s="14">
        <f>IF(BAC_Total=0,"",D35/BAC_Total)</f>
        <v>0</v>
      </c>
      <c r="F35" s="11">
        <f>IF(row(A35)=4,0,D35-D34)</f>
        <v>0</v>
      </c>
    </row>
    <row r="36" spans="1:6">
      <c r="A36" s="5">
        <f>StartDate+32</f>
        <v>0</v>
      </c>
      <c r="B36" s="11">
        <f>SUMPRODUCT(Taches!$F$2:$F$21*(A36&gt;=Taches!$C$2:$C$21)*(A36&lt;=Taches!$D$2:$D$21)*((A36-Taches!$C$2:$C$21+1)/(Taches!$D$2:$C$21*0+Taches!$D$2:$D$21-Taches!$C$2:$C$21+1)))+SUMPRODUCT(Taches!$F$2:$F$21*(A36&gt;Taches!$D$2:$D$21))</f>
        <v>0</v>
      </c>
      <c r="C36" s="11">
        <f>BAC_Total*SUMIF(Jalons!$B$4:$B$9,"&lt;="&amp;A36,Jalons!$C$4:$C$9)</f>
        <v>0</v>
      </c>
      <c r="D36" s="11">
        <f>B36+C36</f>
        <v>0</v>
      </c>
      <c r="E36" s="14">
        <f>IF(BAC_Total=0,"",D36/BAC_Total)</f>
        <v>0</v>
      </c>
      <c r="F36" s="11">
        <f>IF(row(A36)=4,0,D36-D35)</f>
        <v>0</v>
      </c>
    </row>
    <row r="37" spans="1:6">
      <c r="A37" s="5">
        <f>StartDate+33</f>
        <v>0</v>
      </c>
      <c r="B37" s="11">
        <f>SUMPRODUCT(Taches!$F$2:$F$21*(A37&gt;=Taches!$C$2:$C$21)*(A37&lt;=Taches!$D$2:$D$21)*((A37-Taches!$C$2:$C$21+1)/(Taches!$D$2:$C$21*0+Taches!$D$2:$D$21-Taches!$C$2:$C$21+1)))+SUMPRODUCT(Taches!$F$2:$F$21*(A37&gt;Taches!$D$2:$D$21))</f>
        <v>0</v>
      </c>
      <c r="C37" s="11">
        <f>BAC_Total*SUMIF(Jalons!$B$4:$B$9,"&lt;="&amp;A37,Jalons!$C$4:$C$9)</f>
        <v>0</v>
      </c>
      <c r="D37" s="11">
        <f>B37+C37</f>
        <v>0</v>
      </c>
      <c r="E37" s="14">
        <f>IF(BAC_Total=0,"",D37/BAC_Total)</f>
        <v>0</v>
      </c>
      <c r="F37" s="11">
        <f>IF(row(A37)=4,0,D37-D36)</f>
        <v>0</v>
      </c>
    </row>
    <row r="38" spans="1:6">
      <c r="A38" s="5">
        <f>StartDate+34</f>
        <v>0</v>
      </c>
      <c r="B38" s="11">
        <f>SUMPRODUCT(Taches!$F$2:$F$21*(A38&gt;=Taches!$C$2:$C$21)*(A38&lt;=Taches!$D$2:$D$21)*((A38-Taches!$C$2:$C$21+1)/(Taches!$D$2:$C$21*0+Taches!$D$2:$D$21-Taches!$C$2:$C$21+1)))+SUMPRODUCT(Taches!$F$2:$F$21*(A38&gt;Taches!$D$2:$D$21))</f>
        <v>0</v>
      </c>
      <c r="C38" s="11">
        <f>BAC_Total*SUMIF(Jalons!$B$4:$B$9,"&lt;="&amp;A38,Jalons!$C$4:$C$9)</f>
        <v>0</v>
      </c>
      <c r="D38" s="11">
        <f>B38+C38</f>
        <v>0</v>
      </c>
      <c r="E38" s="14">
        <f>IF(BAC_Total=0,"",D38/BAC_Total)</f>
        <v>0</v>
      </c>
      <c r="F38" s="11">
        <f>IF(row(A38)=4,0,D38-D37)</f>
        <v>0</v>
      </c>
    </row>
    <row r="39" spans="1:6">
      <c r="A39" s="5">
        <f>StartDate+35</f>
        <v>0</v>
      </c>
      <c r="B39" s="11">
        <f>SUMPRODUCT(Taches!$F$2:$F$21*(A39&gt;=Taches!$C$2:$C$21)*(A39&lt;=Taches!$D$2:$D$21)*((A39-Taches!$C$2:$C$21+1)/(Taches!$D$2:$C$21*0+Taches!$D$2:$D$21-Taches!$C$2:$C$21+1)))+SUMPRODUCT(Taches!$F$2:$F$21*(A39&gt;Taches!$D$2:$D$21))</f>
        <v>0</v>
      </c>
      <c r="C39" s="11">
        <f>BAC_Total*SUMIF(Jalons!$B$4:$B$9,"&lt;="&amp;A39,Jalons!$C$4:$C$9)</f>
        <v>0</v>
      </c>
      <c r="D39" s="11">
        <f>B39+C39</f>
        <v>0</v>
      </c>
      <c r="E39" s="14">
        <f>IF(BAC_Total=0,"",D39/BAC_Total)</f>
        <v>0</v>
      </c>
      <c r="F39" s="11">
        <f>IF(row(A39)=4,0,D39-D38)</f>
        <v>0</v>
      </c>
    </row>
    <row r="40" spans="1:6">
      <c r="A40" s="5">
        <f>StartDate+36</f>
        <v>0</v>
      </c>
      <c r="B40" s="11">
        <f>SUMPRODUCT(Taches!$F$2:$F$21*(A40&gt;=Taches!$C$2:$C$21)*(A40&lt;=Taches!$D$2:$D$21)*((A40-Taches!$C$2:$C$21+1)/(Taches!$D$2:$C$21*0+Taches!$D$2:$D$21-Taches!$C$2:$C$21+1)))+SUMPRODUCT(Taches!$F$2:$F$21*(A40&gt;Taches!$D$2:$D$21))</f>
        <v>0</v>
      </c>
      <c r="C40" s="11">
        <f>BAC_Total*SUMIF(Jalons!$B$4:$B$9,"&lt;="&amp;A40,Jalons!$C$4:$C$9)</f>
        <v>0</v>
      </c>
      <c r="D40" s="11">
        <f>B40+C40</f>
        <v>0</v>
      </c>
      <c r="E40" s="14">
        <f>IF(BAC_Total=0,"",D40/BAC_Total)</f>
        <v>0</v>
      </c>
      <c r="F40" s="11">
        <f>IF(row(A40)=4,0,D40-D39)</f>
        <v>0</v>
      </c>
    </row>
    <row r="41" spans="1:6">
      <c r="A41" s="5">
        <f>StartDate+37</f>
        <v>0</v>
      </c>
      <c r="B41" s="11">
        <f>SUMPRODUCT(Taches!$F$2:$F$21*(A41&gt;=Taches!$C$2:$C$21)*(A41&lt;=Taches!$D$2:$D$21)*((A41-Taches!$C$2:$C$21+1)/(Taches!$D$2:$C$21*0+Taches!$D$2:$D$21-Taches!$C$2:$C$21+1)))+SUMPRODUCT(Taches!$F$2:$F$21*(A41&gt;Taches!$D$2:$D$21))</f>
        <v>0</v>
      </c>
      <c r="C41" s="11">
        <f>BAC_Total*SUMIF(Jalons!$B$4:$B$9,"&lt;="&amp;A41,Jalons!$C$4:$C$9)</f>
        <v>0</v>
      </c>
      <c r="D41" s="11">
        <f>B41+C41</f>
        <v>0</v>
      </c>
      <c r="E41" s="14">
        <f>IF(BAC_Total=0,"",D41/BAC_Total)</f>
        <v>0</v>
      </c>
      <c r="F41" s="11">
        <f>IF(row(A41)=4,0,D41-D40)</f>
        <v>0</v>
      </c>
    </row>
    <row r="42" spans="1:6">
      <c r="A42" s="5">
        <f>StartDate+38</f>
        <v>0</v>
      </c>
      <c r="B42" s="11">
        <f>SUMPRODUCT(Taches!$F$2:$F$21*(A42&gt;=Taches!$C$2:$C$21)*(A42&lt;=Taches!$D$2:$D$21)*((A42-Taches!$C$2:$C$21+1)/(Taches!$D$2:$C$21*0+Taches!$D$2:$D$21-Taches!$C$2:$C$21+1)))+SUMPRODUCT(Taches!$F$2:$F$21*(A42&gt;Taches!$D$2:$D$21))</f>
        <v>0</v>
      </c>
      <c r="C42" s="11">
        <f>BAC_Total*SUMIF(Jalons!$B$4:$B$9,"&lt;="&amp;A42,Jalons!$C$4:$C$9)</f>
        <v>0</v>
      </c>
      <c r="D42" s="11">
        <f>B42+C42</f>
        <v>0</v>
      </c>
      <c r="E42" s="14">
        <f>IF(BAC_Total=0,"",D42/BAC_Total)</f>
        <v>0</v>
      </c>
      <c r="F42" s="11">
        <f>IF(row(A42)=4,0,D42-D41)</f>
        <v>0</v>
      </c>
    </row>
    <row r="43" spans="1:6">
      <c r="A43" s="5">
        <f>StartDate+39</f>
        <v>0</v>
      </c>
      <c r="B43" s="11">
        <f>SUMPRODUCT(Taches!$F$2:$F$21*(A43&gt;=Taches!$C$2:$C$21)*(A43&lt;=Taches!$D$2:$D$21)*((A43-Taches!$C$2:$C$21+1)/(Taches!$D$2:$C$21*0+Taches!$D$2:$D$21-Taches!$C$2:$C$21+1)))+SUMPRODUCT(Taches!$F$2:$F$21*(A43&gt;Taches!$D$2:$D$21))</f>
        <v>0</v>
      </c>
      <c r="C43" s="11">
        <f>BAC_Total*SUMIF(Jalons!$B$4:$B$9,"&lt;="&amp;A43,Jalons!$C$4:$C$9)</f>
        <v>0</v>
      </c>
      <c r="D43" s="11">
        <f>B43+C43</f>
        <v>0</v>
      </c>
      <c r="E43" s="14">
        <f>IF(BAC_Total=0,"",D43/BAC_Total)</f>
        <v>0</v>
      </c>
      <c r="F43" s="11">
        <f>IF(row(A43)=4,0,D43-D42)</f>
        <v>0</v>
      </c>
    </row>
    <row r="44" spans="1:6">
      <c r="A44" s="5">
        <f>StartDate+40</f>
        <v>0</v>
      </c>
      <c r="B44" s="11">
        <f>SUMPRODUCT(Taches!$F$2:$F$21*(A44&gt;=Taches!$C$2:$C$21)*(A44&lt;=Taches!$D$2:$D$21)*((A44-Taches!$C$2:$C$21+1)/(Taches!$D$2:$C$21*0+Taches!$D$2:$D$21-Taches!$C$2:$C$21+1)))+SUMPRODUCT(Taches!$F$2:$F$21*(A44&gt;Taches!$D$2:$D$21))</f>
        <v>0</v>
      </c>
      <c r="C44" s="11">
        <f>BAC_Total*SUMIF(Jalons!$B$4:$B$9,"&lt;="&amp;A44,Jalons!$C$4:$C$9)</f>
        <v>0</v>
      </c>
      <c r="D44" s="11">
        <f>B44+C44</f>
        <v>0</v>
      </c>
      <c r="E44" s="14">
        <f>IF(BAC_Total=0,"",D44/BAC_Total)</f>
        <v>0</v>
      </c>
      <c r="F44" s="11">
        <f>IF(row(A44)=4,0,D44-D43)</f>
        <v>0</v>
      </c>
    </row>
    <row r="45" spans="1:6">
      <c r="A45" s="5">
        <f>StartDate+41</f>
        <v>0</v>
      </c>
      <c r="B45" s="11">
        <f>SUMPRODUCT(Taches!$F$2:$F$21*(A45&gt;=Taches!$C$2:$C$21)*(A45&lt;=Taches!$D$2:$D$21)*((A45-Taches!$C$2:$C$21+1)/(Taches!$D$2:$C$21*0+Taches!$D$2:$D$21-Taches!$C$2:$C$21+1)))+SUMPRODUCT(Taches!$F$2:$F$21*(A45&gt;Taches!$D$2:$D$21))</f>
        <v>0</v>
      </c>
      <c r="C45" s="11">
        <f>BAC_Total*SUMIF(Jalons!$B$4:$B$9,"&lt;="&amp;A45,Jalons!$C$4:$C$9)</f>
        <v>0</v>
      </c>
      <c r="D45" s="11">
        <f>B45+C45</f>
        <v>0</v>
      </c>
      <c r="E45" s="14">
        <f>IF(BAC_Total=0,"",D45/BAC_Total)</f>
        <v>0</v>
      </c>
      <c r="F45" s="11">
        <f>IF(row(A45)=4,0,D45-D44)</f>
        <v>0</v>
      </c>
    </row>
    <row r="46" spans="1:6">
      <c r="A46" s="5">
        <f>StartDate+42</f>
        <v>0</v>
      </c>
      <c r="B46" s="11">
        <f>SUMPRODUCT(Taches!$F$2:$F$21*(A46&gt;=Taches!$C$2:$C$21)*(A46&lt;=Taches!$D$2:$D$21)*((A46-Taches!$C$2:$C$21+1)/(Taches!$D$2:$C$21*0+Taches!$D$2:$D$21-Taches!$C$2:$C$21+1)))+SUMPRODUCT(Taches!$F$2:$F$21*(A46&gt;Taches!$D$2:$D$21))</f>
        <v>0</v>
      </c>
      <c r="C46" s="11">
        <f>BAC_Total*SUMIF(Jalons!$B$4:$B$9,"&lt;="&amp;A46,Jalons!$C$4:$C$9)</f>
        <v>0</v>
      </c>
      <c r="D46" s="11">
        <f>B46+C46</f>
        <v>0</v>
      </c>
      <c r="E46" s="14">
        <f>IF(BAC_Total=0,"",D46/BAC_Total)</f>
        <v>0</v>
      </c>
      <c r="F46" s="11">
        <f>IF(row(A46)=4,0,D46-D45)</f>
        <v>0</v>
      </c>
    </row>
    <row r="47" spans="1:6">
      <c r="A47" s="5">
        <f>StartDate+43</f>
        <v>0</v>
      </c>
      <c r="B47" s="11">
        <f>SUMPRODUCT(Taches!$F$2:$F$21*(A47&gt;=Taches!$C$2:$C$21)*(A47&lt;=Taches!$D$2:$D$21)*((A47-Taches!$C$2:$C$21+1)/(Taches!$D$2:$C$21*0+Taches!$D$2:$D$21-Taches!$C$2:$C$21+1)))+SUMPRODUCT(Taches!$F$2:$F$21*(A47&gt;Taches!$D$2:$D$21))</f>
        <v>0</v>
      </c>
      <c r="C47" s="11">
        <f>BAC_Total*SUMIF(Jalons!$B$4:$B$9,"&lt;="&amp;A47,Jalons!$C$4:$C$9)</f>
        <v>0</v>
      </c>
      <c r="D47" s="11">
        <f>B47+C47</f>
        <v>0</v>
      </c>
      <c r="E47" s="14">
        <f>IF(BAC_Total=0,"",D47/BAC_Total)</f>
        <v>0</v>
      </c>
      <c r="F47" s="11">
        <f>IF(row(A47)=4,0,D47-D46)</f>
        <v>0</v>
      </c>
    </row>
    <row r="48" spans="1:6">
      <c r="A48" s="5">
        <f>StartDate+44</f>
        <v>0</v>
      </c>
      <c r="B48" s="11">
        <f>SUMPRODUCT(Taches!$F$2:$F$21*(A48&gt;=Taches!$C$2:$C$21)*(A48&lt;=Taches!$D$2:$D$21)*((A48-Taches!$C$2:$C$21+1)/(Taches!$D$2:$C$21*0+Taches!$D$2:$D$21-Taches!$C$2:$C$21+1)))+SUMPRODUCT(Taches!$F$2:$F$21*(A48&gt;Taches!$D$2:$D$21))</f>
        <v>0</v>
      </c>
      <c r="C48" s="11">
        <f>BAC_Total*SUMIF(Jalons!$B$4:$B$9,"&lt;="&amp;A48,Jalons!$C$4:$C$9)</f>
        <v>0</v>
      </c>
      <c r="D48" s="11">
        <f>B48+C48</f>
        <v>0</v>
      </c>
      <c r="E48" s="14">
        <f>IF(BAC_Total=0,"",D48/BAC_Total)</f>
        <v>0</v>
      </c>
      <c r="F48" s="11">
        <f>IF(row(A48)=4,0,D48-D47)</f>
        <v>0</v>
      </c>
    </row>
    <row r="49" spans="1:6">
      <c r="A49" s="5">
        <f>StartDate+45</f>
        <v>0</v>
      </c>
      <c r="B49" s="11">
        <f>SUMPRODUCT(Taches!$F$2:$F$21*(A49&gt;=Taches!$C$2:$C$21)*(A49&lt;=Taches!$D$2:$D$21)*((A49-Taches!$C$2:$C$21+1)/(Taches!$D$2:$C$21*0+Taches!$D$2:$D$21-Taches!$C$2:$C$21+1)))+SUMPRODUCT(Taches!$F$2:$F$21*(A49&gt;Taches!$D$2:$D$21))</f>
        <v>0</v>
      </c>
      <c r="C49" s="11">
        <f>BAC_Total*SUMIF(Jalons!$B$4:$B$9,"&lt;="&amp;A49,Jalons!$C$4:$C$9)</f>
        <v>0</v>
      </c>
      <c r="D49" s="11">
        <f>B49+C49</f>
        <v>0</v>
      </c>
      <c r="E49" s="14">
        <f>IF(BAC_Total=0,"",D49/BAC_Total)</f>
        <v>0</v>
      </c>
      <c r="F49" s="11">
        <f>IF(row(A49)=4,0,D49-D48)</f>
        <v>0</v>
      </c>
    </row>
    <row r="50" spans="1:6">
      <c r="A50" s="5">
        <f>StartDate+46</f>
        <v>0</v>
      </c>
      <c r="B50" s="11">
        <f>SUMPRODUCT(Taches!$F$2:$F$21*(A50&gt;=Taches!$C$2:$C$21)*(A50&lt;=Taches!$D$2:$D$21)*((A50-Taches!$C$2:$C$21+1)/(Taches!$D$2:$C$21*0+Taches!$D$2:$D$21-Taches!$C$2:$C$21+1)))+SUMPRODUCT(Taches!$F$2:$F$21*(A50&gt;Taches!$D$2:$D$21))</f>
        <v>0</v>
      </c>
      <c r="C50" s="11">
        <f>BAC_Total*SUMIF(Jalons!$B$4:$B$9,"&lt;="&amp;A50,Jalons!$C$4:$C$9)</f>
        <v>0</v>
      </c>
      <c r="D50" s="11">
        <f>B50+C50</f>
        <v>0</v>
      </c>
      <c r="E50" s="14">
        <f>IF(BAC_Total=0,"",D50/BAC_Total)</f>
        <v>0</v>
      </c>
      <c r="F50" s="11">
        <f>IF(row(A50)=4,0,D50-D49)</f>
        <v>0</v>
      </c>
    </row>
    <row r="51" spans="1:6">
      <c r="A51" s="5">
        <f>StartDate+47</f>
        <v>0</v>
      </c>
      <c r="B51" s="11">
        <f>SUMPRODUCT(Taches!$F$2:$F$21*(A51&gt;=Taches!$C$2:$C$21)*(A51&lt;=Taches!$D$2:$D$21)*((A51-Taches!$C$2:$C$21+1)/(Taches!$D$2:$C$21*0+Taches!$D$2:$D$21-Taches!$C$2:$C$21+1)))+SUMPRODUCT(Taches!$F$2:$F$21*(A51&gt;Taches!$D$2:$D$21))</f>
        <v>0</v>
      </c>
      <c r="C51" s="11">
        <f>BAC_Total*SUMIF(Jalons!$B$4:$B$9,"&lt;="&amp;A51,Jalons!$C$4:$C$9)</f>
        <v>0</v>
      </c>
      <c r="D51" s="11">
        <f>B51+C51</f>
        <v>0</v>
      </c>
      <c r="E51" s="14">
        <f>IF(BAC_Total=0,"",D51/BAC_Total)</f>
        <v>0</v>
      </c>
      <c r="F51" s="11">
        <f>IF(row(A51)=4,0,D51-D50)</f>
        <v>0</v>
      </c>
    </row>
    <row r="52" spans="1:6">
      <c r="A52" s="5">
        <f>StartDate+48</f>
        <v>0</v>
      </c>
      <c r="B52" s="11">
        <f>SUMPRODUCT(Taches!$F$2:$F$21*(A52&gt;=Taches!$C$2:$C$21)*(A52&lt;=Taches!$D$2:$D$21)*((A52-Taches!$C$2:$C$21+1)/(Taches!$D$2:$C$21*0+Taches!$D$2:$D$21-Taches!$C$2:$C$21+1)))+SUMPRODUCT(Taches!$F$2:$F$21*(A52&gt;Taches!$D$2:$D$21))</f>
        <v>0</v>
      </c>
      <c r="C52" s="11">
        <f>BAC_Total*SUMIF(Jalons!$B$4:$B$9,"&lt;="&amp;A52,Jalons!$C$4:$C$9)</f>
        <v>0</v>
      </c>
      <c r="D52" s="11">
        <f>B52+C52</f>
        <v>0</v>
      </c>
      <c r="E52" s="14">
        <f>IF(BAC_Total=0,"",D52/BAC_Total)</f>
        <v>0</v>
      </c>
      <c r="F52" s="11">
        <f>IF(row(A52)=4,0,D52-D51)</f>
        <v>0</v>
      </c>
    </row>
    <row r="53" spans="1:6">
      <c r="A53" s="5">
        <f>StartDate+49</f>
        <v>0</v>
      </c>
      <c r="B53" s="11">
        <f>SUMPRODUCT(Taches!$F$2:$F$21*(A53&gt;=Taches!$C$2:$C$21)*(A53&lt;=Taches!$D$2:$D$21)*((A53-Taches!$C$2:$C$21+1)/(Taches!$D$2:$C$21*0+Taches!$D$2:$D$21-Taches!$C$2:$C$21+1)))+SUMPRODUCT(Taches!$F$2:$F$21*(A53&gt;Taches!$D$2:$D$21))</f>
        <v>0</v>
      </c>
      <c r="C53" s="11">
        <f>BAC_Total*SUMIF(Jalons!$B$4:$B$9,"&lt;="&amp;A53,Jalons!$C$4:$C$9)</f>
        <v>0</v>
      </c>
      <c r="D53" s="11">
        <f>B53+C53</f>
        <v>0</v>
      </c>
      <c r="E53" s="14">
        <f>IF(BAC_Total=0,"",D53/BAC_Total)</f>
        <v>0</v>
      </c>
      <c r="F53" s="11">
        <f>IF(row(A53)=4,0,D53-D52)</f>
        <v>0</v>
      </c>
    </row>
    <row r="54" spans="1:6">
      <c r="A54" s="5">
        <f>StartDate+50</f>
        <v>0</v>
      </c>
      <c r="B54" s="11">
        <f>SUMPRODUCT(Taches!$F$2:$F$21*(A54&gt;=Taches!$C$2:$C$21)*(A54&lt;=Taches!$D$2:$D$21)*((A54-Taches!$C$2:$C$21+1)/(Taches!$D$2:$C$21*0+Taches!$D$2:$D$21-Taches!$C$2:$C$21+1)))+SUMPRODUCT(Taches!$F$2:$F$21*(A54&gt;Taches!$D$2:$D$21))</f>
        <v>0</v>
      </c>
      <c r="C54" s="11">
        <f>BAC_Total*SUMIF(Jalons!$B$4:$B$9,"&lt;="&amp;A54,Jalons!$C$4:$C$9)</f>
        <v>0</v>
      </c>
      <c r="D54" s="11">
        <f>B54+C54</f>
        <v>0</v>
      </c>
      <c r="E54" s="14">
        <f>IF(BAC_Total=0,"",D54/BAC_Total)</f>
        <v>0</v>
      </c>
      <c r="F54" s="11">
        <f>IF(row(A54)=4,0,D54-D53)</f>
        <v>0</v>
      </c>
    </row>
    <row r="55" spans="1:6">
      <c r="A55" s="5">
        <f>StartDate+51</f>
        <v>0</v>
      </c>
      <c r="B55" s="11">
        <f>SUMPRODUCT(Taches!$F$2:$F$21*(A55&gt;=Taches!$C$2:$C$21)*(A55&lt;=Taches!$D$2:$D$21)*((A55-Taches!$C$2:$C$21+1)/(Taches!$D$2:$C$21*0+Taches!$D$2:$D$21-Taches!$C$2:$C$21+1)))+SUMPRODUCT(Taches!$F$2:$F$21*(A55&gt;Taches!$D$2:$D$21))</f>
        <v>0</v>
      </c>
      <c r="C55" s="11">
        <f>BAC_Total*SUMIF(Jalons!$B$4:$B$9,"&lt;="&amp;A55,Jalons!$C$4:$C$9)</f>
        <v>0</v>
      </c>
      <c r="D55" s="11">
        <f>B55+C55</f>
        <v>0</v>
      </c>
      <c r="E55" s="14">
        <f>IF(BAC_Total=0,"",D55/BAC_Total)</f>
        <v>0</v>
      </c>
      <c r="F55" s="11">
        <f>IF(row(A55)=4,0,D55-D54)</f>
        <v>0</v>
      </c>
    </row>
    <row r="56" spans="1:6">
      <c r="A56" s="5">
        <f>StartDate+52</f>
        <v>0</v>
      </c>
      <c r="B56" s="11">
        <f>SUMPRODUCT(Taches!$F$2:$F$21*(A56&gt;=Taches!$C$2:$C$21)*(A56&lt;=Taches!$D$2:$D$21)*((A56-Taches!$C$2:$C$21+1)/(Taches!$D$2:$C$21*0+Taches!$D$2:$D$21-Taches!$C$2:$C$21+1)))+SUMPRODUCT(Taches!$F$2:$F$21*(A56&gt;Taches!$D$2:$D$21))</f>
        <v>0</v>
      </c>
      <c r="C56" s="11">
        <f>BAC_Total*SUMIF(Jalons!$B$4:$B$9,"&lt;="&amp;A56,Jalons!$C$4:$C$9)</f>
        <v>0</v>
      </c>
      <c r="D56" s="11">
        <f>B56+C56</f>
        <v>0</v>
      </c>
      <c r="E56" s="14">
        <f>IF(BAC_Total=0,"",D56/BAC_Total)</f>
        <v>0</v>
      </c>
      <c r="F56" s="11">
        <f>IF(row(A56)=4,0,D56-D55)</f>
        <v>0</v>
      </c>
    </row>
    <row r="57" spans="1:6">
      <c r="A57" s="5">
        <f>StartDate+53</f>
        <v>0</v>
      </c>
      <c r="B57" s="11">
        <f>SUMPRODUCT(Taches!$F$2:$F$21*(A57&gt;=Taches!$C$2:$C$21)*(A57&lt;=Taches!$D$2:$D$21)*((A57-Taches!$C$2:$C$21+1)/(Taches!$D$2:$C$21*0+Taches!$D$2:$D$21-Taches!$C$2:$C$21+1)))+SUMPRODUCT(Taches!$F$2:$F$21*(A57&gt;Taches!$D$2:$D$21))</f>
        <v>0</v>
      </c>
      <c r="C57" s="11">
        <f>BAC_Total*SUMIF(Jalons!$B$4:$B$9,"&lt;="&amp;A57,Jalons!$C$4:$C$9)</f>
        <v>0</v>
      </c>
      <c r="D57" s="11">
        <f>B57+C57</f>
        <v>0</v>
      </c>
      <c r="E57" s="14">
        <f>IF(BAC_Total=0,"",D57/BAC_Total)</f>
        <v>0</v>
      </c>
      <c r="F57" s="11">
        <f>IF(row(A57)=4,0,D57-D56)</f>
        <v>0</v>
      </c>
    </row>
    <row r="58" spans="1:6">
      <c r="A58" s="5">
        <f>StartDate+54</f>
        <v>0</v>
      </c>
      <c r="B58" s="11">
        <f>SUMPRODUCT(Taches!$F$2:$F$21*(A58&gt;=Taches!$C$2:$C$21)*(A58&lt;=Taches!$D$2:$D$21)*((A58-Taches!$C$2:$C$21+1)/(Taches!$D$2:$C$21*0+Taches!$D$2:$D$21-Taches!$C$2:$C$21+1)))+SUMPRODUCT(Taches!$F$2:$F$21*(A58&gt;Taches!$D$2:$D$21))</f>
        <v>0</v>
      </c>
      <c r="C58" s="11">
        <f>BAC_Total*SUMIF(Jalons!$B$4:$B$9,"&lt;="&amp;A58,Jalons!$C$4:$C$9)</f>
        <v>0</v>
      </c>
      <c r="D58" s="11">
        <f>B58+C58</f>
        <v>0</v>
      </c>
      <c r="E58" s="14">
        <f>IF(BAC_Total=0,"",D58/BAC_Total)</f>
        <v>0</v>
      </c>
      <c r="F58" s="11">
        <f>IF(row(A58)=4,0,D58-D57)</f>
        <v>0</v>
      </c>
    </row>
    <row r="59" spans="1:6">
      <c r="A59" s="5">
        <f>StartDate+55</f>
        <v>0</v>
      </c>
      <c r="B59" s="11">
        <f>SUMPRODUCT(Taches!$F$2:$F$21*(A59&gt;=Taches!$C$2:$C$21)*(A59&lt;=Taches!$D$2:$D$21)*((A59-Taches!$C$2:$C$21+1)/(Taches!$D$2:$C$21*0+Taches!$D$2:$D$21-Taches!$C$2:$C$21+1)))+SUMPRODUCT(Taches!$F$2:$F$21*(A59&gt;Taches!$D$2:$D$21))</f>
        <v>0</v>
      </c>
      <c r="C59" s="11">
        <f>BAC_Total*SUMIF(Jalons!$B$4:$B$9,"&lt;="&amp;A59,Jalons!$C$4:$C$9)</f>
        <v>0</v>
      </c>
      <c r="D59" s="11">
        <f>B59+C59</f>
        <v>0</v>
      </c>
      <c r="E59" s="14">
        <f>IF(BAC_Total=0,"",D59/BAC_Total)</f>
        <v>0</v>
      </c>
      <c r="F59" s="11">
        <f>IF(row(A59)=4,0,D59-D58)</f>
        <v>0</v>
      </c>
    </row>
    <row r="60" spans="1:6">
      <c r="A60" s="5">
        <f>StartDate+56</f>
        <v>0</v>
      </c>
      <c r="B60" s="11">
        <f>SUMPRODUCT(Taches!$F$2:$F$21*(A60&gt;=Taches!$C$2:$C$21)*(A60&lt;=Taches!$D$2:$D$21)*((A60-Taches!$C$2:$C$21+1)/(Taches!$D$2:$C$21*0+Taches!$D$2:$D$21-Taches!$C$2:$C$21+1)))+SUMPRODUCT(Taches!$F$2:$F$21*(A60&gt;Taches!$D$2:$D$21))</f>
        <v>0</v>
      </c>
      <c r="C60" s="11">
        <f>BAC_Total*SUMIF(Jalons!$B$4:$B$9,"&lt;="&amp;A60,Jalons!$C$4:$C$9)</f>
        <v>0</v>
      </c>
      <c r="D60" s="11">
        <f>B60+C60</f>
        <v>0</v>
      </c>
      <c r="E60" s="14">
        <f>IF(BAC_Total=0,"",D60/BAC_Total)</f>
        <v>0</v>
      </c>
      <c r="F60" s="11">
        <f>IF(row(A60)=4,0,D60-D59)</f>
        <v>0</v>
      </c>
    </row>
    <row r="61" spans="1:6">
      <c r="A61" s="5">
        <f>StartDate+57</f>
        <v>0</v>
      </c>
      <c r="B61" s="11">
        <f>SUMPRODUCT(Taches!$F$2:$F$21*(A61&gt;=Taches!$C$2:$C$21)*(A61&lt;=Taches!$D$2:$D$21)*((A61-Taches!$C$2:$C$21+1)/(Taches!$D$2:$C$21*0+Taches!$D$2:$D$21-Taches!$C$2:$C$21+1)))+SUMPRODUCT(Taches!$F$2:$F$21*(A61&gt;Taches!$D$2:$D$21))</f>
        <v>0</v>
      </c>
      <c r="C61" s="11">
        <f>BAC_Total*SUMIF(Jalons!$B$4:$B$9,"&lt;="&amp;A61,Jalons!$C$4:$C$9)</f>
        <v>0</v>
      </c>
      <c r="D61" s="11">
        <f>B61+C61</f>
        <v>0</v>
      </c>
      <c r="E61" s="14">
        <f>IF(BAC_Total=0,"",D61/BAC_Total)</f>
        <v>0</v>
      </c>
      <c r="F61" s="11">
        <f>IF(row(A61)=4,0,D61-D60)</f>
        <v>0</v>
      </c>
    </row>
    <row r="62" spans="1:6">
      <c r="A62" s="5">
        <f>StartDate+58</f>
        <v>0</v>
      </c>
      <c r="B62" s="11">
        <f>SUMPRODUCT(Taches!$F$2:$F$21*(A62&gt;=Taches!$C$2:$C$21)*(A62&lt;=Taches!$D$2:$D$21)*((A62-Taches!$C$2:$C$21+1)/(Taches!$D$2:$C$21*0+Taches!$D$2:$D$21-Taches!$C$2:$C$21+1)))+SUMPRODUCT(Taches!$F$2:$F$21*(A62&gt;Taches!$D$2:$D$21))</f>
        <v>0</v>
      </c>
      <c r="C62" s="11">
        <f>BAC_Total*SUMIF(Jalons!$B$4:$B$9,"&lt;="&amp;A62,Jalons!$C$4:$C$9)</f>
        <v>0</v>
      </c>
      <c r="D62" s="11">
        <f>B62+C62</f>
        <v>0</v>
      </c>
      <c r="E62" s="14">
        <f>IF(BAC_Total=0,"",D62/BAC_Total)</f>
        <v>0</v>
      </c>
      <c r="F62" s="11">
        <f>IF(row(A62)=4,0,D62-D61)</f>
        <v>0</v>
      </c>
    </row>
    <row r="63" spans="1:6">
      <c r="A63" s="5">
        <f>StartDate+59</f>
        <v>0</v>
      </c>
      <c r="B63" s="11">
        <f>SUMPRODUCT(Taches!$F$2:$F$21*(A63&gt;=Taches!$C$2:$C$21)*(A63&lt;=Taches!$D$2:$D$21)*((A63-Taches!$C$2:$C$21+1)/(Taches!$D$2:$C$21*0+Taches!$D$2:$D$21-Taches!$C$2:$C$21+1)))+SUMPRODUCT(Taches!$F$2:$F$21*(A63&gt;Taches!$D$2:$D$21))</f>
        <v>0</v>
      </c>
      <c r="C63" s="11">
        <f>BAC_Total*SUMIF(Jalons!$B$4:$B$9,"&lt;="&amp;A63,Jalons!$C$4:$C$9)</f>
        <v>0</v>
      </c>
      <c r="D63" s="11">
        <f>B63+C63</f>
        <v>0</v>
      </c>
      <c r="E63" s="14">
        <f>IF(BAC_Total=0,"",D63/BAC_Total)</f>
        <v>0</v>
      </c>
      <c r="F63" s="11">
        <f>IF(row(A63)=4,0,D63-D62)</f>
        <v>0</v>
      </c>
    </row>
    <row r="64" spans="1:6">
      <c r="A64" s="5">
        <f>StartDate+60</f>
        <v>0</v>
      </c>
      <c r="B64" s="11">
        <f>SUMPRODUCT(Taches!$F$2:$F$21*(A64&gt;=Taches!$C$2:$C$21)*(A64&lt;=Taches!$D$2:$D$21)*((A64-Taches!$C$2:$C$21+1)/(Taches!$D$2:$C$21*0+Taches!$D$2:$D$21-Taches!$C$2:$C$21+1)))+SUMPRODUCT(Taches!$F$2:$F$21*(A64&gt;Taches!$D$2:$D$21))</f>
        <v>0</v>
      </c>
      <c r="C64" s="11">
        <f>BAC_Total*SUMIF(Jalons!$B$4:$B$9,"&lt;="&amp;A64,Jalons!$C$4:$C$9)</f>
        <v>0</v>
      </c>
      <c r="D64" s="11">
        <f>B64+C64</f>
        <v>0</v>
      </c>
      <c r="E64" s="14">
        <f>IF(BAC_Total=0,"",D64/BAC_Total)</f>
        <v>0</v>
      </c>
      <c r="F64" s="11">
        <f>IF(row(A64)=4,0,D64-D63)</f>
        <v>0</v>
      </c>
    </row>
    <row r="65" spans="1:6">
      <c r="A65" s="5">
        <f>StartDate+61</f>
        <v>0</v>
      </c>
      <c r="B65" s="11">
        <f>SUMPRODUCT(Taches!$F$2:$F$21*(A65&gt;=Taches!$C$2:$C$21)*(A65&lt;=Taches!$D$2:$D$21)*((A65-Taches!$C$2:$C$21+1)/(Taches!$D$2:$C$21*0+Taches!$D$2:$D$21-Taches!$C$2:$C$21+1)))+SUMPRODUCT(Taches!$F$2:$F$21*(A65&gt;Taches!$D$2:$D$21))</f>
        <v>0</v>
      </c>
      <c r="C65" s="11">
        <f>BAC_Total*SUMIF(Jalons!$B$4:$B$9,"&lt;="&amp;A65,Jalons!$C$4:$C$9)</f>
        <v>0</v>
      </c>
      <c r="D65" s="11">
        <f>B65+C65</f>
        <v>0</v>
      </c>
      <c r="E65" s="14">
        <f>IF(BAC_Total=0,"",D65/BAC_Total)</f>
        <v>0</v>
      </c>
      <c r="F65" s="11">
        <f>IF(row(A65)=4,0,D65-D64)</f>
        <v>0</v>
      </c>
    </row>
    <row r="66" spans="1:6">
      <c r="A66" s="5">
        <f>StartDate+62</f>
        <v>0</v>
      </c>
      <c r="B66" s="11">
        <f>SUMPRODUCT(Taches!$F$2:$F$21*(A66&gt;=Taches!$C$2:$C$21)*(A66&lt;=Taches!$D$2:$D$21)*((A66-Taches!$C$2:$C$21+1)/(Taches!$D$2:$C$21*0+Taches!$D$2:$D$21-Taches!$C$2:$C$21+1)))+SUMPRODUCT(Taches!$F$2:$F$21*(A66&gt;Taches!$D$2:$D$21))</f>
        <v>0</v>
      </c>
      <c r="C66" s="11">
        <f>BAC_Total*SUMIF(Jalons!$B$4:$B$9,"&lt;="&amp;A66,Jalons!$C$4:$C$9)</f>
        <v>0</v>
      </c>
      <c r="D66" s="11">
        <f>B66+C66</f>
        <v>0</v>
      </c>
      <c r="E66" s="14">
        <f>IF(BAC_Total=0,"",D66/BAC_Total)</f>
        <v>0</v>
      </c>
      <c r="F66" s="11">
        <f>IF(row(A66)=4,0,D66-D65)</f>
        <v>0</v>
      </c>
    </row>
    <row r="67" spans="1:6">
      <c r="A67" s="5">
        <f>StartDate+63</f>
        <v>0</v>
      </c>
      <c r="B67" s="11">
        <f>SUMPRODUCT(Taches!$F$2:$F$21*(A67&gt;=Taches!$C$2:$C$21)*(A67&lt;=Taches!$D$2:$D$21)*((A67-Taches!$C$2:$C$21+1)/(Taches!$D$2:$C$21*0+Taches!$D$2:$D$21-Taches!$C$2:$C$21+1)))+SUMPRODUCT(Taches!$F$2:$F$21*(A67&gt;Taches!$D$2:$D$21))</f>
        <v>0</v>
      </c>
      <c r="C67" s="11">
        <f>BAC_Total*SUMIF(Jalons!$B$4:$B$9,"&lt;="&amp;A67,Jalons!$C$4:$C$9)</f>
        <v>0</v>
      </c>
      <c r="D67" s="11">
        <f>B67+C67</f>
        <v>0</v>
      </c>
      <c r="E67" s="14">
        <f>IF(BAC_Total=0,"",D67/BAC_Total)</f>
        <v>0</v>
      </c>
      <c r="F67" s="11">
        <f>IF(row(A67)=4,0,D67-D66)</f>
        <v>0</v>
      </c>
    </row>
    <row r="68" spans="1:6">
      <c r="A68" s="5">
        <f>StartDate+64</f>
        <v>0</v>
      </c>
      <c r="B68" s="11">
        <f>SUMPRODUCT(Taches!$F$2:$F$21*(A68&gt;=Taches!$C$2:$C$21)*(A68&lt;=Taches!$D$2:$D$21)*((A68-Taches!$C$2:$C$21+1)/(Taches!$D$2:$C$21*0+Taches!$D$2:$D$21-Taches!$C$2:$C$21+1)))+SUMPRODUCT(Taches!$F$2:$F$21*(A68&gt;Taches!$D$2:$D$21))</f>
        <v>0</v>
      </c>
      <c r="C68" s="11">
        <f>BAC_Total*SUMIF(Jalons!$B$4:$B$9,"&lt;="&amp;A68,Jalons!$C$4:$C$9)</f>
        <v>0</v>
      </c>
      <c r="D68" s="11">
        <f>B68+C68</f>
        <v>0</v>
      </c>
      <c r="E68" s="14">
        <f>IF(BAC_Total=0,"",D68/BAC_Total)</f>
        <v>0</v>
      </c>
      <c r="F68" s="11">
        <f>IF(row(A68)=4,0,D68-D67)</f>
        <v>0</v>
      </c>
    </row>
    <row r="69" spans="1:6">
      <c r="A69" s="5">
        <f>StartDate+65</f>
        <v>0</v>
      </c>
      <c r="B69" s="11">
        <f>SUMPRODUCT(Taches!$F$2:$F$21*(A69&gt;=Taches!$C$2:$C$21)*(A69&lt;=Taches!$D$2:$D$21)*((A69-Taches!$C$2:$C$21+1)/(Taches!$D$2:$C$21*0+Taches!$D$2:$D$21-Taches!$C$2:$C$21+1)))+SUMPRODUCT(Taches!$F$2:$F$21*(A69&gt;Taches!$D$2:$D$21))</f>
        <v>0</v>
      </c>
      <c r="C69" s="11">
        <f>BAC_Total*SUMIF(Jalons!$B$4:$B$9,"&lt;="&amp;A69,Jalons!$C$4:$C$9)</f>
        <v>0</v>
      </c>
      <c r="D69" s="11">
        <f>B69+C69</f>
        <v>0</v>
      </c>
      <c r="E69" s="14">
        <f>IF(BAC_Total=0,"",D69/BAC_Total)</f>
        <v>0</v>
      </c>
      <c r="F69" s="11">
        <f>IF(row(A69)=4,0,D69-D68)</f>
        <v>0</v>
      </c>
    </row>
    <row r="70" spans="1:6">
      <c r="A70" s="5">
        <f>StartDate+66</f>
        <v>0</v>
      </c>
      <c r="B70" s="11">
        <f>SUMPRODUCT(Taches!$F$2:$F$21*(A70&gt;=Taches!$C$2:$C$21)*(A70&lt;=Taches!$D$2:$D$21)*((A70-Taches!$C$2:$C$21+1)/(Taches!$D$2:$C$21*0+Taches!$D$2:$D$21-Taches!$C$2:$C$21+1)))+SUMPRODUCT(Taches!$F$2:$F$21*(A70&gt;Taches!$D$2:$D$21))</f>
        <v>0</v>
      </c>
      <c r="C70" s="11">
        <f>BAC_Total*SUMIF(Jalons!$B$4:$B$9,"&lt;="&amp;A70,Jalons!$C$4:$C$9)</f>
        <v>0</v>
      </c>
      <c r="D70" s="11">
        <f>B70+C70</f>
        <v>0</v>
      </c>
      <c r="E70" s="14">
        <f>IF(BAC_Total=0,"",D70/BAC_Total)</f>
        <v>0</v>
      </c>
      <c r="F70" s="11">
        <f>IF(row(A70)=4,0,D70-D69)</f>
        <v>0</v>
      </c>
    </row>
    <row r="71" spans="1:6">
      <c r="A71" s="5">
        <f>StartDate+67</f>
        <v>0</v>
      </c>
      <c r="B71" s="11">
        <f>SUMPRODUCT(Taches!$F$2:$F$21*(A71&gt;=Taches!$C$2:$C$21)*(A71&lt;=Taches!$D$2:$D$21)*((A71-Taches!$C$2:$C$21+1)/(Taches!$D$2:$C$21*0+Taches!$D$2:$D$21-Taches!$C$2:$C$21+1)))+SUMPRODUCT(Taches!$F$2:$F$21*(A71&gt;Taches!$D$2:$D$21))</f>
        <v>0</v>
      </c>
      <c r="C71" s="11">
        <f>BAC_Total*SUMIF(Jalons!$B$4:$B$9,"&lt;="&amp;A71,Jalons!$C$4:$C$9)</f>
        <v>0</v>
      </c>
      <c r="D71" s="11">
        <f>B71+C71</f>
        <v>0</v>
      </c>
      <c r="E71" s="14">
        <f>IF(BAC_Total=0,"",D71/BAC_Total)</f>
        <v>0</v>
      </c>
      <c r="F71" s="11">
        <f>IF(row(A71)=4,0,D71-D70)</f>
        <v>0</v>
      </c>
    </row>
    <row r="72" spans="1:6">
      <c r="A72" s="5">
        <f>StartDate+68</f>
        <v>0</v>
      </c>
      <c r="B72" s="11">
        <f>SUMPRODUCT(Taches!$F$2:$F$21*(A72&gt;=Taches!$C$2:$C$21)*(A72&lt;=Taches!$D$2:$D$21)*((A72-Taches!$C$2:$C$21+1)/(Taches!$D$2:$C$21*0+Taches!$D$2:$D$21-Taches!$C$2:$C$21+1)))+SUMPRODUCT(Taches!$F$2:$F$21*(A72&gt;Taches!$D$2:$D$21))</f>
        <v>0</v>
      </c>
      <c r="C72" s="11">
        <f>BAC_Total*SUMIF(Jalons!$B$4:$B$9,"&lt;="&amp;A72,Jalons!$C$4:$C$9)</f>
        <v>0</v>
      </c>
      <c r="D72" s="11">
        <f>B72+C72</f>
        <v>0</v>
      </c>
      <c r="E72" s="14">
        <f>IF(BAC_Total=0,"",D72/BAC_Total)</f>
        <v>0</v>
      </c>
      <c r="F72" s="11">
        <f>IF(row(A72)=4,0,D72-D71)</f>
        <v>0</v>
      </c>
    </row>
    <row r="73" spans="1:6">
      <c r="A73" s="5">
        <f>StartDate+69</f>
        <v>0</v>
      </c>
      <c r="B73" s="11">
        <f>SUMPRODUCT(Taches!$F$2:$F$21*(A73&gt;=Taches!$C$2:$C$21)*(A73&lt;=Taches!$D$2:$D$21)*((A73-Taches!$C$2:$C$21+1)/(Taches!$D$2:$C$21*0+Taches!$D$2:$D$21-Taches!$C$2:$C$21+1)))+SUMPRODUCT(Taches!$F$2:$F$21*(A73&gt;Taches!$D$2:$D$21))</f>
        <v>0</v>
      </c>
      <c r="C73" s="11">
        <f>BAC_Total*SUMIF(Jalons!$B$4:$B$9,"&lt;="&amp;A73,Jalons!$C$4:$C$9)</f>
        <v>0</v>
      </c>
      <c r="D73" s="11">
        <f>B73+C73</f>
        <v>0</v>
      </c>
      <c r="E73" s="14">
        <f>IF(BAC_Total=0,"",D73/BAC_Total)</f>
        <v>0</v>
      </c>
      <c r="F73" s="11">
        <f>IF(row(A73)=4,0,D73-D72)</f>
        <v>0</v>
      </c>
    </row>
    <row r="74" spans="1:6">
      <c r="A74" s="5">
        <f>StartDate+70</f>
        <v>0</v>
      </c>
      <c r="B74" s="11">
        <f>SUMPRODUCT(Taches!$F$2:$F$21*(A74&gt;=Taches!$C$2:$C$21)*(A74&lt;=Taches!$D$2:$D$21)*((A74-Taches!$C$2:$C$21+1)/(Taches!$D$2:$C$21*0+Taches!$D$2:$D$21-Taches!$C$2:$C$21+1)))+SUMPRODUCT(Taches!$F$2:$F$21*(A74&gt;Taches!$D$2:$D$21))</f>
        <v>0</v>
      </c>
      <c r="C74" s="11">
        <f>BAC_Total*SUMIF(Jalons!$B$4:$B$9,"&lt;="&amp;A74,Jalons!$C$4:$C$9)</f>
        <v>0</v>
      </c>
      <c r="D74" s="11">
        <f>B74+C74</f>
        <v>0</v>
      </c>
      <c r="E74" s="14">
        <f>IF(BAC_Total=0,"",D74/BAC_Total)</f>
        <v>0</v>
      </c>
      <c r="F74" s="11">
        <f>IF(row(A74)=4,0,D74-D73)</f>
        <v>0</v>
      </c>
    </row>
    <row r="75" spans="1:6">
      <c r="A75" s="5">
        <f>StartDate+71</f>
        <v>0</v>
      </c>
      <c r="B75" s="11">
        <f>SUMPRODUCT(Taches!$F$2:$F$21*(A75&gt;=Taches!$C$2:$C$21)*(A75&lt;=Taches!$D$2:$D$21)*((A75-Taches!$C$2:$C$21+1)/(Taches!$D$2:$C$21*0+Taches!$D$2:$D$21-Taches!$C$2:$C$21+1)))+SUMPRODUCT(Taches!$F$2:$F$21*(A75&gt;Taches!$D$2:$D$21))</f>
        <v>0</v>
      </c>
      <c r="C75" s="11">
        <f>BAC_Total*SUMIF(Jalons!$B$4:$B$9,"&lt;="&amp;A75,Jalons!$C$4:$C$9)</f>
        <v>0</v>
      </c>
      <c r="D75" s="11">
        <f>B75+C75</f>
        <v>0</v>
      </c>
      <c r="E75" s="14">
        <f>IF(BAC_Total=0,"",D75/BAC_Total)</f>
        <v>0</v>
      </c>
      <c r="F75" s="11">
        <f>IF(row(A75)=4,0,D75-D74)</f>
        <v>0</v>
      </c>
    </row>
    <row r="76" spans="1:6">
      <c r="A76" s="5">
        <f>StartDate+72</f>
        <v>0</v>
      </c>
      <c r="B76" s="11">
        <f>SUMPRODUCT(Taches!$F$2:$F$21*(A76&gt;=Taches!$C$2:$C$21)*(A76&lt;=Taches!$D$2:$D$21)*((A76-Taches!$C$2:$C$21+1)/(Taches!$D$2:$C$21*0+Taches!$D$2:$D$21-Taches!$C$2:$C$21+1)))+SUMPRODUCT(Taches!$F$2:$F$21*(A76&gt;Taches!$D$2:$D$21))</f>
        <v>0</v>
      </c>
      <c r="C76" s="11">
        <f>BAC_Total*SUMIF(Jalons!$B$4:$B$9,"&lt;="&amp;A76,Jalons!$C$4:$C$9)</f>
        <v>0</v>
      </c>
      <c r="D76" s="11">
        <f>B76+C76</f>
        <v>0</v>
      </c>
      <c r="E76" s="14">
        <f>IF(BAC_Total=0,"",D76/BAC_Total)</f>
        <v>0</v>
      </c>
      <c r="F76" s="11">
        <f>IF(row(A76)=4,0,D76-D75)</f>
        <v>0</v>
      </c>
    </row>
    <row r="77" spans="1:6">
      <c r="A77" s="5">
        <f>StartDate+73</f>
        <v>0</v>
      </c>
      <c r="B77" s="11">
        <f>SUMPRODUCT(Taches!$F$2:$F$21*(A77&gt;=Taches!$C$2:$C$21)*(A77&lt;=Taches!$D$2:$D$21)*((A77-Taches!$C$2:$C$21+1)/(Taches!$D$2:$C$21*0+Taches!$D$2:$D$21-Taches!$C$2:$C$21+1)))+SUMPRODUCT(Taches!$F$2:$F$21*(A77&gt;Taches!$D$2:$D$21))</f>
        <v>0</v>
      </c>
      <c r="C77" s="11">
        <f>BAC_Total*SUMIF(Jalons!$B$4:$B$9,"&lt;="&amp;A77,Jalons!$C$4:$C$9)</f>
        <v>0</v>
      </c>
      <c r="D77" s="11">
        <f>B77+C77</f>
        <v>0</v>
      </c>
      <c r="E77" s="14">
        <f>IF(BAC_Total=0,"",D77/BAC_Total)</f>
        <v>0</v>
      </c>
      <c r="F77" s="11">
        <f>IF(row(A77)=4,0,D77-D76)</f>
        <v>0</v>
      </c>
    </row>
    <row r="78" spans="1:6">
      <c r="A78" s="5">
        <f>StartDate+74</f>
        <v>0</v>
      </c>
      <c r="B78" s="11">
        <f>SUMPRODUCT(Taches!$F$2:$F$21*(A78&gt;=Taches!$C$2:$C$21)*(A78&lt;=Taches!$D$2:$D$21)*((A78-Taches!$C$2:$C$21+1)/(Taches!$D$2:$C$21*0+Taches!$D$2:$D$21-Taches!$C$2:$C$21+1)))+SUMPRODUCT(Taches!$F$2:$F$21*(A78&gt;Taches!$D$2:$D$21))</f>
        <v>0</v>
      </c>
      <c r="C78" s="11">
        <f>BAC_Total*SUMIF(Jalons!$B$4:$B$9,"&lt;="&amp;A78,Jalons!$C$4:$C$9)</f>
        <v>0</v>
      </c>
      <c r="D78" s="11">
        <f>B78+C78</f>
        <v>0</v>
      </c>
      <c r="E78" s="14">
        <f>IF(BAC_Total=0,"",D78/BAC_Total)</f>
        <v>0</v>
      </c>
      <c r="F78" s="11">
        <f>IF(row(A78)=4,0,D78-D77)</f>
        <v>0</v>
      </c>
    </row>
    <row r="79" spans="1:6">
      <c r="A79" s="5">
        <f>StartDate+75</f>
        <v>0</v>
      </c>
      <c r="B79" s="11">
        <f>SUMPRODUCT(Taches!$F$2:$F$21*(A79&gt;=Taches!$C$2:$C$21)*(A79&lt;=Taches!$D$2:$D$21)*((A79-Taches!$C$2:$C$21+1)/(Taches!$D$2:$C$21*0+Taches!$D$2:$D$21-Taches!$C$2:$C$21+1)))+SUMPRODUCT(Taches!$F$2:$F$21*(A79&gt;Taches!$D$2:$D$21))</f>
        <v>0</v>
      </c>
      <c r="C79" s="11">
        <f>BAC_Total*SUMIF(Jalons!$B$4:$B$9,"&lt;="&amp;A79,Jalons!$C$4:$C$9)</f>
        <v>0</v>
      </c>
      <c r="D79" s="11">
        <f>B79+C79</f>
        <v>0</v>
      </c>
      <c r="E79" s="14">
        <f>IF(BAC_Total=0,"",D79/BAC_Total)</f>
        <v>0</v>
      </c>
      <c r="F79" s="11">
        <f>IF(row(A79)=4,0,D79-D78)</f>
        <v>0</v>
      </c>
    </row>
    <row r="80" spans="1:6">
      <c r="A80" s="5">
        <f>StartDate+76</f>
        <v>0</v>
      </c>
      <c r="B80" s="11">
        <f>SUMPRODUCT(Taches!$F$2:$F$21*(A80&gt;=Taches!$C$2:$C$21)*(A80&lt;=Taches!$D$2:$D$21)*((A80-Taches!$C$2:$C$21+1)/(Taches!$D$2:$C$21*0+Taches!$D$2:$D$21-Taches!$C$2:$C$21+1)))+SUMPRODUCT(Taches!$F$2:$F$21*(A80&gt;Taches!$D$2:$D$21))</f>
        <v>0</v>
      </c>
      <c r="C80" s="11">
        <f>BAC_Total*SUMIF(Jalons!$B$4:$B$9,"&lt;="&amp;A80,Jalons!$C$4:$C$9)</f>
        <v>0</v>
      </c>
      <c r="D80" s="11">
        <f>B80+C80</f>
        <v>0</v>
      </c>
      <c r="E80" s="14">
        <f>IF(BAC_Total=0,"",D80/BAC_Total)</f>
        <v>0</v>
      </c>
      <c r="F80" s="11">
        <f>IF(row(A80)=4,0,D80-D79)</f>
        <v>0</v>
      </c>
    </row>
    <row r="81" spans="1:6">
      <c r="A81" s="5">
        <f>StartDate+77</f>
        <v>0</v>
      </c>
      <c r="B81" s="11">
        <f>SUMPRODUCT(Taches!$F$2:$F$21*(A81&gt;=Taches!$C$2:$C$21)*(A81&lt;=Taches!$D$2:$D$21)*((A81-Taches!$C$2:$C$21+1)/(Taches!$D$2:$C$21*0+Taches!$D$2:$D$21-Taches!$C$2:$C$21+1)))+SUMPRODUCT(Taches!$F$2:$F$21*(A81&gt;Taches!$D$2:$D$21))</f>
        <v>0</v>
      </c>
      <c r="C81" s="11">
        <f>BAC_Total*SUMIF(Jalons!$B$4:$B$9,"&lt;="&amp;A81,Jalons!$C$4:$C$9)</f>
        <v>0</v>
      </c>
      <c r="D81" s="11">
        <f>B81+C81</f>
        <v>0</v>
      </c>
      <c r="E81" s="14">
        <f>IF(BAC_Total=0,"",D81/BAC_Total)</f>
        <v>0</v>
      </c>
      <c r="F81" s="11">
        <f>IF(row(A81)=4,0,D81-D80)</f>
        <v>0</v>
      </c>
    </row>
    <row r="82" spans="1:6">
      <c r="A82" s="5">
        <f>StartDate+78</f>
        <v>0</v>
      </c>
      <c r="B82" s="11">
        <f>SUMPRODUCT(Taches!$F$2:$F$21*(A82&gt;=Taches!$C$2:$C$21)*(A82&lt;=Taches!$D$2:$D$21)*((A82-Taches!$C$2:$C$21+1)/(Taches!$D$2:$C$21*0+Taches!$D$2:$D$21-Taches!$C$2:$C$21+1)))+SUMPRODUCT(Taches!$F$2:$F$21*(A82&gt;Taches!$D$2:$D$21))</f>
        <v>0</v>
      </c>
      <c r="C82" s="11">
        <f>BAC_Total*SUMIF(Jalons!$B$4:$B$9,"&lt;="&amp;A82,Jalons!$C$4:$C$9)</f>
        <v>0</v>
      </c>
      <c r="D82" s="11">
        <f>B82+C82</f>
        <v>0</v>
      </c>
      <c r="E82" s="14">
        <f>IF(BAC_Total=0,"",D82/BAC_Total)</f>
        <v>0</v>
      </c>
      <c r="F82" s="11">
        <f>IF(row(A82)=4,0,D82-D81)</f>
        <v>0</v>
      </c>
    </row>
    <row r="83" spans="1:6">
      <c r="A83" s="5">
        <f>StartDate+79</f>
        <v>0</v>
      </c>
      <c r="B83" s="11">
        <f>SUMPRODUCT(Taches!$F$2:$F$21*(A83&gt;=Taches!$C$2:$C$21)*(A83&lt;=Taches!$D$2:$D$21)*((A83-Taches!$C$2:$C$21+1)/(Taches!$D$2:$C$21*0+Taches!$D$2:$D$21-Taches!$C$2:$C$21+1)))+SUMPRODUCT(Taches!$F$2:$F$21*(A83&gt;Taches!$D$2:$D$21))</f>
        <v>0</v>
      </c>
      <c r="C83" s="11">
        <f>BAC_Total*SUMIF(Jalons!$B$4:$B$9,"&lt;="&amp;A83,Jalons!$C$4:$C$9)</f>
        <v>0</v>
      </c>
      <c r="D83" s="11">
        <f>B83+C83</f>
        <v>0</v>
      </c>
      <c r="E83" s="14">
        <f>IF(BAC_Total=0,"",D83/BAC_Total)</f>
        <v>0</v>
      </c>
      <c r="F83" s="11">
        <f>IF(row(A83)=4,0,D83-D82)</f>
        <v>0</v>
      </c>
    </row>
    <row r="84" spans="1:6">
      <c r="A84" s="5">
        <f>StartDate+80</f>
        <v>0</v>
      </c>
      <c r="B84" s="11">
        <f>SUMPRODUCT(Taches!$F$2:$F$21*(A84&gt;=Taches!$C$2:$C$21)*(A84&lt;=Taches!$D$2:$D$21)*((A84-Taches!$C$2:$C$21+1)/(Taches!$D$2:$C$21*0+Taches!$D$2:$D$21-Taches!$C$2:$C$21+1)))+SUMPRODUCT(Taches!$F$2:$F$21*(A84&gt;Taches!$D$2:$D$21))</f>
        <v>0</v>
      </c>
      <c r="C84" s="11">
        <f>BAC_Total*SUMIF(Jalons!$B$4:$B$9,"&lt;="&amp;A84,Jalons!$C$4:$C$9)</f>
        <v>0</v>
      </c>
      <c r="D84" s="11">
        <f>B84+C84</f>
        <v>0</v>
      </c>
      <c r="E84" s="14">
        <f>IF(BAC_Total=0,"",D84/BAC_Total)</f>
        <v>0</v>
      </c>
      <c r="F84" s="11">
        <f>IF(row(A84)=4,0,D84-D83)</f>
        <v>0</v>
      </c>
    </row>
    <row r="85" spans="1:6">
      <c r="A85" s="5">
        <f>StartDate+81</f>
        <v>0</v>
      </c>
      <c r="B85" s="11">
        <f>SUMPRODUCT(Taches!$F$2:$F$21*(A85&gt;=Taches!$C$2:$C$21)*(A85&lt;=Taches!$D$2:$D$21)*((A85-Taches!$C$2:$C$21+1)/(Taches!$D$2:$C$21*0+Taches!$D$2:$D$21-Taches!$C$2:$C$21+1)))+SUMPRODUCT(Taches!$F$2:$F$21*(A85&gt;Taches!$D$2:$D$21))</f>
        <v>0</v>
      </c>
      <c r="C85" s="11">
        <f>BAC_Total*SUMIF(Jalons!$B$4:$B$9,"&lt;="&amp;A85,Jalons!$C$4:$C$9)</f>
        <v>0</v>
      </c>
      <c r="D85" s="11">
        <f>B85+C85</f>
        <v>0</v>
      </c>
      <c r="E85" s="14">
        <f>IF(BAC_Total=0,"",D85/BAC_Total)</f>
        <v>0</v>
      </c>
      <c r="F85" s="11">
        <f>IF(row(A85)=4,0,D85-D84)</f>
        <v>0</v>
      </c>
    </row>
    <row r="86" spans="1:6">
      <c r="A86" s="5">
        <f>StartDate+82</f>
        <v>0</v>
      </c>
      <c r="B86" s="11">
        <f>SUMPRODUCT(Taches!$F$2:$F$21*(A86&gt;=Taches!$C$2:$C$21)*(A86&lt;=Taches!$D$2:$D$21)*((A86-Taches!$C$2:$C$21+1)/(Taches!$D$2:$C$21*0+Taches!$D$2:$D$21-Taches!$C$2:$C$21+1)))+SUMPRODUCT(Taches!$F$2:$F$21*(A86&gt;Taches!$D$2:$D$21))</f>
        <v>0</v>
      </c>
      <c r="C86" s="11">
        <f>BAC_Total*SUMIF(Jalons!$B$4:$B$9,"&lt;="&amp;A86,Jalons!$C$4:$C$9)</f>
        <v>0</v>
      </c>
      <c r="D86" s="11">
        <f>B86+C86</f>
        <v>0</v>
      </c>
      <c r="E86" s="14">
        <f>IF(BAC_Total=0,"",D86/BAC_Total)</f>
        <v>0</v>
      </c>
      <c r="F86" s="11">
        <f>IF(row(A86)=4,0,D86-D85)</f>
        <v>0</v>
      </c>
    </row>
    <row r="87" spans="1:6">
      <c r="A87" s="5">
        <f>StartDate+83</f>
        <v>0</v>
      </c>
      <c r="B87" s="11">
        <f>SUMPRODUCT(Taches!$F$2:$F$21*(A87&gt;=Taches!$C$2:$C$21)*(A87&lt;=Taches!$D$2:$D$21)*((A87-Taches!$C$2:$C$21+1)/(Taches!$D$2:$C$21*0+Taches!$D$2:$D$21-Taches!$C$2:$C$21+1)))+SUMPRODUCT(Taches!$F$2:$F$21*(A87&gt;Taches!$D$2:$D$21))</f>
        <v>0</v>
      </c>
      <c r="C87" s="11">
        <f>BAC_Total*SUMIF(Jalons!$B$4:$B$9,"&lt;="&amp;A87,Jalons!$C$4:$C$9)</f>
        <v>0</v>
      </c>
      <c r="D87" s="11">
        <f>B87+C87</f>
        <v>0</v>
      </c>
      <c r="E87" s="14">
        <f>IF(BAC_Total=0,"",D87/BAC_Total)</f>
        <v>0</v>
      </c>
      <c r="F87" s="11">
        <f>IF(row(A87)=4,0,D87-D86)</f>
        <v>0</v>
      </c>
    </row>
    <row r="88" spans="1:6">
      <c r="A88" s="5">
        <f>StartDate+84</f>
        <v>0</v>
      </c>
      <c r="B88" s="11">
        <f>SUMPRODUCT(Taches!$F$2:$F$21*(A88&gt;=Taches!$C$2:$C$21)*(A88&lt;=Taches!$D$2:$D$21)*((A88-Taches!$C$2:$C$21+1)/(Taches!$D$2:$C$21*0+Taches!$D$2:$D$21-Taches!$C$2:$C$21+1)))+SUMPRODUCT(Taches!$F$2:$F$21*(A88&gt;Taches!$D$2:$D$21))</f>
        <v>0</v>
      </c>
      <c r="C88" s="11">
        <f>BAC_Total*SUMIF(Jalons!$B$4:$B$9,"&lt;="&amp;A88,Jalons!$C$4:$C$9)</f>
        <v>0</v>
      </c>
      <c r="D88" s="11">
        <f>B88+C88</f>
        <v>0</v>
      </c>
      <c r="E88" s="14">
        <f>IF(BAC_Total=0,"",D88/BAC_Total)</f>
        <v>0</v>
      </c>
      <c r="F88" s="11">
        <f>IF(row(A88)=4,0,D88-D87)</f>
        <v>0</v>
      </c>
    </row>
    <row r="89" spans="1:6">
      <c r="A89" s="5">
        <f>StartDate+85</f>
        <v>0</v>
      </c>
      <c r="B89" s="11">
        <f>SUMPRODUCT(Taches!$F$2:$F$21*(A89&gt;=Taches!$C$2:$C$21)*(A89&lt;=Taches!$D$2:$D$21)*((A89-Taches!$C$2:$C$21+1)/(Taches!$D$2:$C$21*0+Taches!$D$2:$D$21-Taches!$C$2:$C$21+1)))+SUMPRODUCT(Taches!$F$2:$F$21*(A89&gt;Taches!$D$2:$D$21))</f>
        <v>0</v>
      </c>
      <c r="C89" s="11">
        <f>BAC_Total*SUMIF(Jalons!$B$4:$B$9,"&lt;="&amp;A89,Jalons!$C$4:$C$9)</f>
        <v>0</v>
      </c>
      <c r="D89" s="11">
        <f>B89+C89</f>
        <v>0</v>
      </c>
      <c r="E89" s="14">
        <f>IF(BAC_Total=0,"",D89/BAC_Total)</f>
        <v>0</v>
      </c>
      <c r="F89" s="11">
        <f>IF(row(A89)=4,0,D89-D88)</f>
        <v>0</v>
      </c>
    </row>
    <row r="90" spans="1:6">
      <c r="A90" s="5">
        <f>StartDate+86</f>
        <v>0</v>
      </c>
      <c r="B90" s="11">
        <f>SUMPRODUCT(Taches!$F$2:$F$21*(A90&gt;=Taches!$C$2:$C$21)*(A90&lt;=Taches!$D$2:$D$21)*((A90-Taches!$C$2:$C$21+1)/(Taches!$D$2:$C$21*0+Taches!$D$2:$D$21-Taches!$C$2:$C$21+1)))+SUMPRODUCT(Taches!$F$2:$F$21*(A90&gt;Taches!$D$2:$D$21))</f>
        <v>0</v>
      </c>
      <c r="C90" s="11">
        <f>BAC_Total*SUMIF(Jalons!$B$4:$B$9,"&lt;="&amp;A90,Jalons!$C$4:$C$9)</f>
        <v>0</v>
      </c>
      <c r="D90" s="11">
        <f>B90+C90</f>
        <v>0</v>
      </c>
      <c r="E90" s="14">
        <f>IF(BAC_Total=0,"",D90/BAC_Total)</f>
        <v>0</v>
      </c>
      <c r="F90" s="11">
        <f>IF(row(A90)=4,0,D90-D89)</f>
        <v>0</v>
      </c>
    </row>
    <row r="91" spans="1:6">
      <c r="A91" s="5">
        <f>StartDate+87</f>
        <v>0</v>
      </c>
      <c r="B91" s="11">
        <f>SUMPRODUCT(Taches!$F$2:$F$21*(A91&gt;=Taches!$C$2:$C$21)*(A91&lt;=Taches!$D$2:$D$21)*((A91-Taches!$C$2:$C$21+1)/(Taches!$D$2:$C$21*0+Taches!$D$2:$D$21-Taches!$C$2:$C$21+1)))+SUMPRODUCT(Taches!$F$2:$F$21*(A91&gt;Taches!$D$2:$D$21))</f>
        <v>0</v>
      </c>
      <c r="C91" s="11">
        <f>BAC_Total*SUMIF(Jalons!$B$4:$B$9,"&lt;="&amp;A91,Jalons!$C$4:$C$9)</f>
        <v>0</v>
      </c>
      <c r="D91" s="11">
        <f>B91+C91</f>
        <v>0</v>
      </c>
      <c r="E91" s="14">
        <f>IF(BAC_Total=0,"",D91/BAC_Total)</f>
        <v>0</v>
      </c>
      <c r="F91" s="11">
        <f>IF(row(A91)=4,0,D91-D90)</f>
        <v>0</v>
      </c>
    </row>
    <row r="92" spans="1:6">
      <c r="A92" s="5">
        <f>StartDate+88</f>
        <v>0</v>
      </c>
      <c r="B92" s="11">
        <f>SUMPRODUCT(Taches!$F$2:$F$21*(A92&gt;=Taches!$C$2:$C$21)*(A92&lt;=Taches!$D$2:$D$21)*((A92-Taches!$C$2:$C$21+1)/(Taches!$D$2:$C$21*0+Taches!$D$2:$D$21-Taches!$C$2:$C$21+1)))+SUMPRODUCT(Taches!$F$2:$F$21*(A92&gt;Taches!$D$2:$D$21))</f>
        <v>0</v>
      </c>
      <c r="C92" s="11">
        <f>BAC_Total*SUMIF(Jalons!$B$4:$B$9,"&lt;="&amp;A92,Jalons!$C$4:$C$9)</f>
        <v>0</v>
      </c>
      <c r="D92" s="11">
        <f>B92+C92</f>
        <v>0</v>
      </c>
      <c r="E92" s="14">
        <f>IF(BAC_Total=0,"",D92/BAC_Total)</f>
        <v>0</v>
      </c>
      <c r="F92" s="11">
        <f>IF(row(A92)=4,0,D92-D91)</f>
        <v>0</v>
      </c>
    </row>
    <row r="93" spans="1:6">
      <c r="A93" s="5">
        <f>StartDate+89</f>
        <v>0</v>
      </c>
      <c r="B93" s="11">
        <f>SUMPRODUCT(Taches!$F$2:$F$21*(A93&gt;=Taches!$C$2:$C$21)*(A93&lt;=Taches!$D$2:$D$21)*((A93-Taches!$C$2:$C$21+1)/(Taches!$D$2:$C$21*0+Taches!$D$2:$D$21-Taches!$C$2:$C$21+1)))+SUMPRODUCT(Taches!$F$2:$F$21*(A93&gt;Taches!$D$2:$D$21))</f>
        <v>0</v>
      </c>
      <c r="C93" s="11">
        <f>BAC_Total*SUMIF(Jalons!$B$4:$B$9,"&lt;="&amp;A93,Jalons!$C$4:$C$9)</f>
        <v>0</v>
      </c>
      <c r="D93" s="11">
        <f>B93+C93</f>
        <v>0</v>
      </c>
      <c r="E93" s="14">
        <f>IF(BAC_Total=0,"",D93/BAC_Total)</f>
        <v>0</v>
      </c>
      <c r="F93" s="11">
        <f>IF(row(A93)=4,0,D93-D92)</f>
        <v>0</v>
      </c>
    </row>
    <row r="94" spans="1:6">
      <c r="A94" s="5">
        <f>StartDate+90</f>
        <v>0</v>
      </c>
      <c r="B94" s="11">
        <f>SUMPRODUCT(Taches!$F$2:$F$21*(A94&gt;=Taches!$C$2:$C$21)*(A94&lt;=Taches!$D$2:$D$21)*((A94-Taches!$C$2:$C$21+1)/(Taches!$D$2:$C$21*0+Taches!$D$2:$D$21-Taches!$C$2:$C$21+1)))+SUMPRODUCT(Taches!$F$2:$F$21*(A94&gt;Taches!$D$2:$D$21))</f>
        <v>0</v>
      </c>
      <c r="C94" s="11">
        <f>BAC_Total*SUMIF(Jalons!$B$4:$B$9,"&lt;="&amp;A94,Jalons!$C$4:$C$9)</f>
        <v>0</v>
      </c>
      <c r="D94" s="11">
        <f>B94+C94</f>
        <v>0</v>
      </c>
      <c r="E94" s="14">
        <f>IF(BAC_Total=0,"",D94/BAC_Total)</f>
        <v>0</v>
      </c>
      <c r="F94" s="11">
        <f>IF(row(A94)=4,0,D94-D93)</f>
        <v>0</v>
      </c>
    </row>
    <row r="95" spans="1:6">
      <c r="A95" s="5">
        <f>StartDate+91</f>
        <v>0</v>
      </c>
      <c r="B95" s="11">
        <f>SUMPRODUCT(Taches!$F$2:$F$21*(A95&gt;=Taches!$C$2:$C$21)*(A95&lt;=Taches!$D$2:$D$21)*((A95-Taches!$C$2:$C$21+1)/(Taches!$D$2:$C$21*0+Taches!$D$2:$D$21-Taches!$C$2:$C$21+1)))+SUMPRODUCT(Taches!$F$2:$F$21*(A95&gt;Taches!$D$2:$D$21))</f>
        <v>0</v>
      </c>
      <c r="C95" s="11">
        <f>BAC_Total*SUMIF(Jalons!$B$4:$B$9,"&lt;="&amp;A95,Jalons!$C$4:$C$9)</f>
        <v>0</v>
      </c>
      <c r="D95" s="11">
        <f>B95+C95</f>
        <v>0</v>
      </c>
      <c r="E95" s="14">
        <f>IF(BAC_Total=0,"",D95/BAC_Total)</f>
        <v>0</v>
      </c>
      <c r="F95" s="11">
        <f>IF(row(A95)=4,0,D95-D94)</f>
        <v>0</v>
      </c>
    </row>
    <row r="96" spans="1:6">
      <c r="A96" s="5">
        <f>StartDate+92</f>
        <v>0</v>
      </c>
      <c r="B96" s="11">
        <f>SUMPRODUCT(Taches!$F$2:$F$21*(A96&gt;=Taches!$C$2:$C$21)*(A96&lt;=Taches!$D$2:$D$21)*((A96-Taches!$C$2:$C$21+1)/(Taches!$D$2:$C$21*0+Taches!$D$2:$D$21-Taches!$C$2:$C$21+1)))+SUMPRODUCT(Taches!$F$2:$F$21*(A96&gt;Taches!$D$2:$D$21))</f>
        <v>0</v>
      </c>
      <c r="C96" s="11">
        <f>BAC_Total*SUMIF(Jalons!$B$4:$B$9,"&lt;="&amp;A96,Jalons!$C$4:$C$9)</f>
        <v>0</v>
      </c>
      <c r="D96" s="11">
        <f>B96+C96</f>
        <v>0</v>
      </c>
      <c r="E96" s="14">
        <f>IF(BAC_Total=0,"",D96/BAC_Total)</f>
        <v>0</v>
      </c>
      <c r="F96" s="11">
        <f>IF(row(A96)=4,0,D96-D95)</f>
        <v>0</v>
      </c>
    </row>
    <row r="97" spans="1:6">
      <c r="A97" s="5">
        <f>StartDate+93</f>
        <v>0</v>
      </c>
      <c r="B97" s="11">
        <f>SUMPRODUCT(Taches!$F$2:$F$21*(A97&gt;=Taches!$C$2:$C$21)*(A97&lt;=Taches!$D$2:$D$21)*((A97-Taches!$C$2:$C$21+1)/(Taches!$D$2:$C$21*0+Taches!$D$2:$D$21-Taches!$C$2:$C$21+1)))+SUMPRODUCT(Taches!$F$2:$F$21*(A97&gt;Taches!$D$2:$D$21))</f>
        <v>0</v>
      </c>
      <c r="C97" s="11">
        <f>BAC_Total*SUMIF(Jalons!$B$4:$B$9,"&lt;="&amp;A97,Jalons!$C$4:$C$9)</f>
        <v>0</v>
      </c>
      <c r="D97" s="11">
        <f>B97+C97</f>
        <v>0</v>
      </c>
      <c r="E97" s="14">
        <f>IF(BAC_Total=0,"",D97/BAC_Total)</f>
        <v>0</v>
      </c>
      <c r="F97" s="11">
        <f>IF(row(A97)=4,0,D97-D96)</f>
        <v>0</v>
      </c>
    </row>
    <row r="98" spans="1:6">
      <c r="A98" s="5">
        <f>StartDate+94</f>
        <v>0</v>
      </c>
      <c r="B98" s="11">
        <f>SUMPRODUCT(Taches!$F$2:$F$21*(A98&gt;=Taches!$C$2:$C$21)*(A98&lt;=Taches!$D$2:$D$21)*((A98-Taches!$C$2:$C$21+1)/(Taches!$D$2:$C$21*0+Taches!$D$2:$D$21-Taches!$C$2:$C$21+1)))+SUMPRODUCT(Taches!$F$2:$F$21*(A98&gt;Taches!$D$2:$D$21))</f>
        <v>0</v>
      </c>
      <c r="C98" s="11">
        <f>BAC_Total*SUMIF(Jalons!$B$4:$B$9,"&lt;="&amp;A98,Jalons!$C$4:$C$9)</f>
        <v>0</v>
      </c>
      <c r="D98" s="11">
        <f>B98+C98</f>
        <v>0</v>
      </c>
      <c r="E98" s="14">
        <f>IF(BAC_Total=0,"",D98/BAC_Total)</f>
        <v>0</v>
      </c>
      <c r="F98" s="11">
        <f>IF(row(A98)=4,0,D98-D97)</f>
        <v>0</v>
      </c>
    </row>
    <row r="99" spans="1:6">
      <c r="A99" s="5">
        <f>StartDate+95</f>
        <v>0</v>
      </c>
      <c r="B99" s="11">
        <f>SUMPRODUCT(Taches!$F$2:$F$21*(A99&gt;=Taches!$C$2:$C$21)*(A99&lt;=Taches!$D$2:$D$21)*((A99-Taches!$C$2:$C$21+1)/(Taches!$D$2:$C$21*0+Taches!$D$2:$D$21-Taches!$C$2:$C$21+1)))+SUMPRODUCT(Taches!$F$2:$F$21*(A99&gt;Taches!$D$2:$D$21))</f>
        <v>0</v>
      </c>
      <c r="C99" s="11">
        <f>BAC_Total*SUMIF(Jalons!$B$4:$B$9,"&lt;="&amp;A99,Jalons!$C$4:$C$9)</f>
        <v>0</v>
      </c>
      <c r="D99" s="11">
        <f>B99+C99</f>
        <v>0</v>
      </c>
      <c r="E99" s="14">
        <f>IF(BAC_Total=0,"",D99/BAC_Total)</f>
        <v>0</v>
      </c>
      <c r="F99" s="11">
        <f>IF(row(A99)=4,0,D99-D98)</f>
        <v>0</v>
      </c>
    </row>
    <row r="100" spans="1:6">
      <c r="A100" s="5">
        <f>StartDate+96</f>
        <v>0</v>
      </c>
      <c r="B100" s="11">
        <f>SUMPRODUCT(Taches!$F$2:$F$21*(A100&gt;=Taches!$C$2:$C$21)*(A100&lt;=Taches!$D$2:$D$21)*((A100-Taches!$C$2:$C$21+1)/(Taches!$D$2:$C$21*0+Taches!$D$2:$D$21-Taches!$C$2:$C$21+1)))+SUMPRODUCT(Taches!$F$2:$F$21*(A100&gt;Taches!$D$2:$D$21))</f>
        <v>0</v>
      </c>
      <c r="C100" s="11">
        <f>BAC_Total*SUMIF(Jalons!$B$4:$B$9,"&lt;="&amp;A100,Jalons!$C$4:$C$9)</f>
        <v>0</v>
      </c>
      <c r="D100" s="11">
        <f>B100+C100</f>
        <v>0</v>
      </c>
      <c r="E100" s="14">
        <f>IF(BAC_Total=0,"",D100/BAC_Total)</f>
        <v>0</v>
      </c>
      <c r="F100" s="11">
        <f>IF(row(A100)=4,0,D100-D99)</f>
        <v>0</v>
      </c>
    </row>
    <row r="101" spans="1:6">
      <c r="A101" s="5">
        <f>StartDate+97</f>
        <v>0</v>
      </c>
      <c r="B101" s="11">
        <f>SUMPRODUCT(Taches!$F$2:$F$21*(A101&gt;=Taches!$C$2:$C$21)*(A101&lt;=Taches!$D$2:$D$21)*((A101-Taches!$C$2:$C$21+1)/(Taches!$D$2:$C$21*0+Taches!$D$2:$D$21-Taches!$C$2:$C$21+1)))+SUMPRODUCT(Taches!$F$2:$F$21*(A101&gt;Taches!$D$2:$D$21))</f>
        <v>0</v>
      </c>
      <c r="C101" s="11">
        <f>BAC_Total*SUMIF(Jalons!$B$4:$B$9,"&lt;="&amp;A101,Jalons!$C$4:$C$9)</f>
        <v>0</v>
      </c>
      <c r="D101" s="11">
        <f>B101+C101</f>
        <v>0</v>
      </c>
      <c r="E101" s="14">
        <f>IF(BAC_Total=0,"",D101/BAC_Total)</f>
        <v>0</v>
      </c>
      <c r="F101" s="11">
        <f>IF(row(A101)=4,0,D101-D100)</f>
        <v>0</v>
      </c>
    </row>
    <row r="102" spans="1:6">
      <c r="A102" s="5">
        <f>StartDate+98</f>
        <v>0</v>
      </c>
      <c r="B102" s="11">
        <f>SUMPRODUCT(Taches!$F$2:$F$21*(A102&gt;=Taches!$C$2:$C$21)*(A102&lt;=Taches!$D$2:$D$21)*((A102-Taches!$C$2:$C$21+1)/(Taches!$D$2:$C$21*0+Taches!$D$2:$D$21-Taches!$C$2:$C$21+1)))+SUMPRODUCT(Taches!$F$2:$F$21*(A102&gt;Taches!$D$2:$D$21))</f>
        <v>0</v>
      </c>
      <c r="C102" s="11">
        <f>BAC_Total*SUMIF(Jalons!$B$4:$B$9,"&lt;="&amp;A102,Jalons!$C$4:$C$9)</f>
        <v>0</v>
      </c>
      <c r="D102" s="11">
        <f>B102+C102</f>
        <v>0</v>
      </c>
      <c r="E102" s="14">
        <f>IF(BAC_Total=0,"",D102/BAC_Total)</f>
        <v>0</v>
      </c>
      <c r="F102" s="11">
        <f>IF(row(A102)=4,0,D102-D101)</f>
        <v>0</v>
      </c>
    </row>
    <row r="103" spans="1:6">
      <c r="A103" s="5">
        <f>StartDate+99</f>
        <v>0</v>
      </c>
      <c r="B103" s="11">
        <f>SUMPRODUCT(Taches!$F$2:$F$21*(A103&gt;=Taches!$C$2:$C$21)*(A103&lt;=Taches!$D$2:$D$21)*((A103-Taches!$C$2:$C$21+1)/(Taches!$D$2:$C$21*0+Taches!$D$2:$D$21-Taches!$C$2:$C$21+1)))+SUMPRODUCT(Taches!$F$2:$F$21*(A103&gt;Taches!$D$2:$D$21))</f>
        <v>0</v>
      </c>
      <c r="C103" s="11">
        <f>BAC_Total*SUMIF(Jalons!$B$4:$B$9,"&lt;="&amp;A103,Jalons!$C$4:$C$9)</f>
        <v>0</v>
      </c>
      <c r="D103" s="11">
        <f>B103+C103</f>
        <v>0</v>
      </c>
      <c r="E103" s="14">
        <f>IF(BAC_Total=0,"",D103/BAC_Total)</f>
        <v>0</v>
      </c>
      <c r="F103" s="11">
        <f>IF(row(A103)=4,0,D103-D102)</f>
        <v>0</v>
      </c>
    </row>
    <row r="104" spans="1:6">
      <c r="A104" s="5">
        <f>StartDate+100</f>
        <v>0</v>
      </c>
      <c r="B104" s="11">
        <f>SUMPRODUCT(Taches!$F$2:$F$21*(A104&gt;=Taches!$C$2:$C$21)*(A104&lt;=Taches!$D$2:$D$21)*((A104-Taches!$C$2:$C$21+1)/(Taches!$D$2:$C$21*0+Taches!$D$2:$D$21-Taches!$C$2:$C$21+1)))+SUMPRODUCT(Taches!$F$2:$F$21*(A104&gt;Taches!$D$2:$D$21))</f>
        <v>0</v>
      </c>
      <c r="C104" s="11">
        <f>BAC_Total*SUMIF(Jalons!$B$4:$B$9,"&lt;="&amp;A104,Jalons!$C$4:$C$9)</f>
        <v>0</v>
      </c>
      <c r="D104" s="11">
        <f>B104+C104</f>
        <v>0</v>
      </c>
      <c r="E104" s="14">
        <f>IF(BAC_Total=0,"",D104/BAC_Total)</f>
        <v>0</v>
      </c>
      <c r="F104" s="11">
        <f>IF(row(A104)=4,0,D104-D103)</f>
        <v>0</v>
      </c>
    </row>
    <row r="105" spans="1:6">
      <c r="A105" s="5">
        <f>StartDate+101</f>
        <v>0</v>
      </c>
      <c r="B105" s="11">
        <f>SUMPRODUCT(Taches!$F$2:$F$21*(A105&gt;=Taches!$C$2:$C$21)*(A105&lt;=Taches!$D$2:$D$21)*((A105-Taches!$C$2:$C$21+1)/(Taches!$D$2:$C$21*0+Taches!$D$2:$D$21-Taches!$C$2:$C$21+1)))+SUMPRODUCT(Taches!$F$2:$F$21*(A105&gt;Taches!$D$2:$D$21))</f>
        <v>0</v>
      </c>
      <c r="C105" s="11">
        <f>BAC_Total*SUMIF(Jalons!$B$4:$B$9,"&lt;="&amp;A105,Jalons!$C$4:$C$9)</f>
        <v>0</v>
      </c>
      <c r="D105" s="11">
        <f>B105+C105</f>
        <v>0</v>
      </c>
      <c r="E105" s="14">
        <f>IF(BAC_Total=0,"",D105/BAC_Total)</f>
        <v>0</v>
      </c>
      <c r="F105" s="11">
        <f>IF(row(A105)=4,0,D105-D104)</f>
        <v>0</v>
      </c>
    </row>
    <row r="106" spans="1:6">
      <c r="A106" s="5">
        <f>StartDate+102</f>
        <v>0</v>
      </c>
      <c r="B106" s="11">
        <f>SUMPRODUCT(Taches!$F$2:$F$21*(A106&gt;=Taches!$C$2:$C$21)*(A106&lt;=Taches!$D$2:$D$21)*((A106-Taches!$C$2:$C$21+1)/(Taches!$D$2:$C$21*0+Taches!$D$2:$D$21-Taches!$C$2:$C$21+1)))+SUMPRODUCT(Taches!$F$2:$F$21*(A106&gt;Taches!$D$2:$D$21))</f>
        <v>0</v>
      </c>
      <c r="C106" s="11">
        <f>BAC_Total*SUMIF(Jalons!$B$4:$B$9,"&lt;="&amp;A106,Jalons!$C$4:$C$9)</f>
        <v>0</v>
      </c>
      <c r="D106" s="11">
        <f>B106+C106</f>
        <v>0</v>
      </c>
      <c r="E106" s="14">
        <f>IF(BAC_Total=0,"",D106/BAC_Total)</f>
        <v>0</v>
      </c>
      <c r="F106" s="11">
        <f>IF(row(A106)=4,0,D106-D105)</f>
        <v>0</v>
      </c>
    </row>
    <row r="107" spans="1:6">
      <c r="A107" s="5">
        <f>StartDate+103</f>
        <v>0</v>
      </c>
      <c r="B107" s="11">
        <f>SUMPRODUCT(Taches!$F$2:$F$21*(A107&gt;=Taches!$C$2:$C$21)*(A107&lt;=Taches!$D$2:$D$21)*((A107-Taches!$C$2:$C$21+1)/(Taches!$D$2:$C$21*0+Taches!$D$2:$D$21-Taches!$C$2:$C$21+1)))+SUMPRODUCT(Taches!$F$2:$F$21*(A107&gt;Taches!$D$2:$D$21))</f>
        <v>0</v>
      </c>
      <c r="C107" s="11">
        <f>BAC_Total*SUMIF(Jalons!$B$4:$B$9,"&lt;="&amp;A107,Jalons!$C$4:$C$9)</f>
        <v>0</v>
      </c>
      <c r="D107" s="11">
        <f>B107+C107</f>
        <v>0</v>
      </c>
      <c r="E107" s="14">
        <f>IF(BAC_Total=0,"",D107/BAC_Total)</f>
        <v>0</v>
      </c>
      <c r="F107" s="11">
        <f>IF(row(A107)=4,0,D107-D106)</f>
        <v>0</v>
      </c>
    </row>
    <row r="108" spans="1:6">
      <c r="A108" s="5">
        <f>StartDate+104</f>
        <v>0</v>
      </c>
      <c r="B108" s="11">
        <f>SUMPRODUCT(Taches!$F$2:$F$21*(A108&gt;=Taches!$C$2:$C$21)*(A108&lt;=Taches!$D$2:$D$21)*((A108-Taches!$C$2:$C$21+1)/(Taches!$D$2:$C$21*0+Taches!$D$2:$D$21-Taches!$C$2:$C$21+1)))+SUMPRODUCT(Taches!$F$2:$F$21*(A108&gt;Taches!$D$2:$D$21))</f>
        <v>0</v>
      </c>
      <c r="C108" s="11">
        <f>BAC_Total*SUMIF(Jalons!$B$4:$B$9,"&lt;="&amp;A108,Jalons!$C$4:$C$9)</f>
        <v>0</v>
      </c>
      <c r="D108" s="11">
        <f>B108+C108</f>
        <v>0</v>
      </c>
      <c r="E108" s="14">
        <f>IF(BAC_Total=0,"",D108/BAC_Total)</f>
        <v>0</v>
      </c>
      <c r="F108" s="11">
        <f>IF(row(A108)=4,0,D108-D107)</f>
        <v>0</v>
      </c>
    </row>
    <row r="109" spans="1:6">
      <c r="A109" s="5">
        <f>StartDate+105</f>
        <v>0</v>
      </c>
      <c r="B109" s="11">
        <f>SUMPRODUCT(Taches!$F$2:$F$21*(A109&gt;=Taches!$C$2:$C$21)*(A109&lt;=Taches!$D$2:$D$21)*((A109-Taches!$C$2:$C$21+1)/(Taches!$D$2:$C$21*0+Taches!$D$2:$D$21-Taches!$C$2:$C$21+1)))+SUMPRODUCT(Taches!$F$2:$F$21*(A109&gt;Taches!$D$2:$D$21))</f>
        <v>0</v>
      </c>
      <c r="C109" s="11">
        <f>BAC_Total*SUMIF(Jalons!$B$4:$B$9,"&lt;="&amp;A109,Jalons!$C$4:$C$9)</f>
        <v>0</v>
      </c>
      <c r="D109" s="11">
        <f>B109+C109</f>
        <v>0</v>
      </c>
      <c r="E109" s="14">
        <f>IF(BAC_Total=0,"",D109/BAC_Total)</f>
        <v>0</v>
      </c>
      <c r="F109" s="11">
        <f>IF(row(A109)=4,0,D109-D108)</f>
        <v>0</v>
      </c>
    </row>
    <row r="110" spans="1:6">
      <c r="A110" s="5">
        <f>StartDate+106</f>
        <v>0</v>
      </c>
      <c r="B110" s="11">
        <f>SUMPRODUCT(Taches!$F$2:$F$21*(A110&gt;=Taches!$C$2:$C$21)*(A110&lt;=Taches!$D$2:$D$21)*((A110-Taches!$C$2:$C$21+1)/(Taches!$D$2:$C$21*0+Taches!$D$2:$D$21-Taches!$C$2:$C$21+1)))+SUMPRODUCT(Taches!$F$2:$F$21*(A110&gt;Taches!$D$2:$D$21))</f>
        <v>0</v>
      </c>
      <c r="C110" s="11">
        <f>BAC_Total*SUMIF(Jalons!$B$4:$B$9,"&lt;="&amp;A110,Jalons!$C$4:$C$9)</f>
        <v>0</v>
      </c>
      <c r="D110" s="11">
        <f>B110+C110</f>
        <v>0</v>
      </c>
      <c r="E110" s="14">
        <f>IF(BAC_Total=0,"",D110/BAC_Total)</f>
        <v>0</v>
      </c>
      <c r="F110" s="11">
        <f>IF(row(A110)=4,0,D110-D109)</f>
        <v>0</v>
      </c>
    </row>
    <row r="111" spans="1:6">
      <c r="A111" s="5">
        <f>StartDate+107</f>
        <v>0</v>
      </c>
      <c r="B111" s="11">
        <f>SUMPRODUCT(Taches!$F$2:$F$21*(A111&gt;=Taches!$C$2:$C$21)*(A111&lt;=Taches!$D$2:$D$21)*((A111-Taches!$C$2:$C$21+1)/(Taches!$D$2:$C$21*0+Taches!$D$2:$D$21-Taches!$C$2:$C$21+1)))+SUMPRODUCT(Taches!$F$2:$F$21*(A111&gt;Taches!$D$2:$D$21))</f>
        <v>0</v>
      </c>
      <c r="C111" s="11">
        <f>BAC_Total*SUMIF(Jalons!$B$4:$B$9,"&lt;="&amp;A111,Jalons!$C$4:$C$9)</f>
        <v>0</v>
      </c>
      <c r="D111" s="11">
        <f>B111+C111</f>
        <v>0</v>
      </c>
      <c r="E111" s="14">
        <f>IF(BAC_Total=0,"",D111/BAC_Total)</f>
        <v>0</v>
      </c>
      <c r="F111" s="11">
        <f>IF(row(A111)=4,0,D111-D110)</f>
        <v>0</v>
      </c>
    </row>
    <row r="112" spans="1:6">
      <c r="A112" s="5">
        <f>StartDate+108</f>
        <v>0</v>
      </c>
      <c r="B112" s="11">
        <f>SUMPRODUCT(Taches!$F$2:$F$21*(A112&gt;=Taches!$C$2:$C$21)*(A112&lt;=Taches!$D$2:$D$21)*((A112-Taches!$C$2:$C$21+1)/(Taches!$D$2:$C$21*0+Taches!$D$2:$D$21-Taches!$C$2:$C$21+1)))+SUMPRODUCT(Taches!$F$2:$F$21*(A112&gt;Taches!$D$2:$D$21))</f>
        <v>0</v>
      </c>
      <c r="C112" s="11">
        <f>BAC_Total*SUMIF(Jalons!$B$4:$B$9,"&lt;="&amp;A112,Jalons!$C$4:$C$9)</f>
        <v>0</v>
      </c>
      <c r="D112" s="11">
        <f>B112+C112</f>
        <v>0</v>
      </c>
      <c r="E112" s="14">
        <f>IF(BAC_Total=0,"",D112/BAC_Total)</f>
        <v>0</v>
      </c>
      <c r="F112" s="11">
        <f>IF(row(A112)=4,0,D112-D111)</f>
        <v>0</v>
      </c>
    </row>
    <row r="113" spans="1:6">
      <c r="A113" s="5">
        <f>StartDate+109</f>
        <v>0</v>
      </c>
      <c r="B113" s="11">
        <f>SUMPRODUCT(Taches!$F$2:$F$21*(A113&gt;=Taches!$C$2:$C$21)*(A113&lt;=Taches!$D$2:$D$21)*((A113-Taches!$C$2:$C$21+1)/(Taches!$D$2:$C$21*0+Taches!$D$2:$D$21-Taches!$C$2:$C$21+1)))+SUMPRODUCT(Taches!$F$2:$F$21*(A113&gt;Taches!$D$2:$D$21))</f>
        <v>0</v>
      </c>
      <c r="C113" s="11">
        <f>BAC_Total*SUMIF(Jalons!$B$4:$B$9,"&lt;="&amp;A113,Jalons!$C$4:$C$9)</f>
        <v>0</v>
      </c>
      <c r="D113" s="11">
        <f>B113+C113</f>
        <v>0</v>
      </c>
      <c r="E113" s="14">
        <f>IF(BAC_Total=0,"",D113/BAC_Total)</f>
        <v>0</v>
      </c>
      <c r="F113" s="11">
        <f>IF(row(A113)=4,0,D113-D112)</f>
        <v>0</v>
      </c>
    </row>
    <row r="114" spans="1:6">
      <c r="A114" s="5">
        <f>StartDate+110</f>
        <v>0</v>
      </c>
      <c r="B114" s="11">
        <f>SUMPRODUCT(Taches!$F$2:$F$21*(A114&gt;=Taches!$C$2:$C$21)*(A114&lt;=Taches!$D$2:$D$21)*((A114-Taches!$C$2:$C$21+1)/(Taches!$D$2:$C$21*0+Taches!$D$2:$D$21-Taches!$C$2:$C$21+1)))+SUMPRODUCT(Taches!$F$2:$F$21*(A114&gt;Taches!$D$2:$D$21))</f>
        <v>0</v>
      </c>
      <c r="C114" s="11">
        <f>BAC_Total*SUMIF(Jalons!$B$4:$B$9,"&lt;="&amp;A114,Jalons!$C$4:$C$9)</f>
        <v>0</v>
      </c>
      <c r="D114" s="11">
        <f>B114+C114</f>
        <v>0</v>
      </c>
      <c r="E114" s="14">
        <f>IF(BAC_Total=0,"",D114/BAC_Total)</f>
        <v>0</v>
      </c>
      <c r="F114" s="11">
        <f>IF(row(A114)=4,0,D114-D113)</f>
        <v>0</v>
      </c>
    </row>
    <row r="115" spans="1:6">
      <c r="A115" s="5">
        <f>StartDate+111</f>
        <v>0</v>
      </c>
      <c r="B115" s="11">
        <f>SUMPRODUCT(Taches!$F$2:$F$21*(A115&gt;=Taches!$C$2:$C$21)*(A115&lt;=Taches!$D$2:$D$21)*((A115-Taches!$C$2:$C$21+1)/(Taches!$D$2:$C$21*0+Taches!$D$2:$D$21-Taches!$C$2:$C$21+1)))+SUMPRODUCT(Taches!$F$2:$F$21*(A115&gt;Taches!$D$2:$D$21))</f>
        <v>0</v>
      </c>
      <c r="C115" s="11">
        <f>BAC_Total*SUMIF(Jalons!$B$4:$B$9,"&lt;="&amp;A115,Jalons!$C$4:$C$9)</f>
        <v>0</v>
      </c>
      <c r="D115" s="11">
        <f>B115+C115</f>
        <v>0</v>
      </c>
      <c r="E115" s="14">
        <f>IF(BAC_Total=0,"",D115/BAC_Total)</f>
        <v>0</v>
      </c>
      <c r="F115" s="11">
        <f>IF(row(A115)=4,0,D115-D114)</f>
        <v>0</v>
      </c>
    </row>
    <row r="116" spans="1:6">
      <c r="A116" s="5">
        <f>StartDate+112</f>
        <v>0</v>
      </c>
      <c r="B116" s="11">
        <f>SUMPRODUCT(Taches!$F$2:$F$21*(A116&gt;=Taches!$C$2:$C$21)*(A116&lt;=Taches!$D$2:$D$21)*((A116-Taches!$C$2:$C$21+1)/(Taches!$D$2:$C$21*0+Taches!$D$2:$D$21-Taches!$C$2:$C$21+1)))+SUMPRODUCT(Taches!$F$2:$F$21*(A116&gt;Taches!$D$2:$D$21))</f>
        <v>0</v>
      </c>
      <c r="C116" s="11">
        <f>BAC_Total*SUMIF(Jalons!$B$4:$B$9,"&lt;="&amp;A116,Jalons!$C$4:$C$9)</f>
        <v>0</v>
      </c>
      <c r="D116" s="11">
        <f>B116+C116</f>
        <v>0</v>
      </c>
      <c r="E116" s="14">
        <f>IF(BAC_Total=0,"",D116/BAC_Total)</f>
        <v>0</v>
      </c>
      <c r="F116" s="11">
        <f>IF(row(A116)=4,0,D116-D115)</f>
        <v>0</v>
      </c>
    </row>
    <row r="117" spans="1:6">
      <c r="A117" s="5">
        <f>StartDate+113</f>
        <v>0</v>
      </c>
      <c r="B117" s="11">
        <f>SUMPRODUCT(Taches!$F$2:$F$21*(A117&gt;=Taches!$C$2:$C$21)*(A117&lt;=Taches!$D$2:$D$21)*((A117-Taches!$C$2:$C$21+1)/(Taches!$D$2:$C$21*0+Taches!$D$2:$D$21-Taches!$C$2:$C$21+1)))+SUMPRODUCT(Taches!$F$2:$F$21*(A117&gt;Taches!$D$2:$D$21))</f>
        <v>0</v>
      </c>
      <c r="C117" s="11">
        <f>BAC_Total*SUMIF(Jalons!$B$4:$B$9,"&lt;="&amp;A117,Jalons!$C$4:$C$9)</f>
        <v>0</v>
      </c>
      <c r="D117" s="11">
        <f>B117+C117</f>
        <v>0</v>
      </c>
      <c r="E117" s="14">
        <f>IF(BAC_Total=0,"",D117/BAC_Total)</f>
        <v>0</v>
      </c>
      <c r="F117" s="11">
        <f>IF(row(A117)=4,0,D117-D116)</f>
        <v>0</v>
      </c>
    </row>
    <row r="118" spans="1:6">
      <c r="A118" s="5">
        <f>StartDate+114</f>
        <v>0</v>
      </c>
      <c r="B118" s="11">
        <f>SUMPRODUCT(Taches!$F$2:$F$21*(A118&gt;=Taches!$C$2:$C$21)*(A118&lt;=Taches!$D$2:$D$21)*((A118-Taches!$C$2:$C$21+1)/(Taches!$D$2:$C$21*0+Taches!$D$2:$D$21-Taches!$C$2:$C$21+1)))+SUMPRODUCT(Taches!$F$2:$F$21*(A118&gt;Taches!$D$2:$D$21))</f>
        <v>0</v>
      </c>
      <c r="C118" s="11">
        <f>BAC_Total*SUMIF(Jalons!$B$4:$B$9,"&lt;="&amp;A118,Jalons!$C$4:$C$9)</f>
        <v>0</v>
      </c>
      <c r="D118" s="11">
        <f>B118+C118</f>
        <v>0</v>
      </c>
      <c r="E118" s="14">
        <f>IF(BAC_Total=0,"",D118/BAC_Total)</f>
        <v>0</v>
      </c>
      <c r="F118" s="11">
        <f>IF(row(A118)=4,0,D118-D117)</f>
        <v>0</v>
      </c>
    </row>
    <row r="119" spans="1:6">
      <c r="A119" s="5">
        <f>StartDate+115</f>
        <v>0</v>
      </c>
      <c r="B119" s="11">
        <f>SUMPRODUCT(Taches!$F$2:$F$21*(A119&gt;=Taches!$C$2:$C$21)*(A119&lt;=Taches!$D$2:$D$21)*((A119-Taches!$C$2:$C$21+1)/(Taches!$D$2:$C$21*0+Taches!$D$2:$D$21-Taches!$C$2:$C$21+1)))+SUMPRODUCT(Taches!$F$2:$F$21*(A119&gt;Taches!$D$2:$D$21))</f>
        <v>0</v>
      </c>
      <c r="C119" s="11">
        <f>BAC_Total*SUMIF(Jalons!$B$4:$B$9,"&lt;="&amp;A119,Jalons!$C$4:$C$9)</f>
        <v>0</v>
      </c>
      <c r="D119" s="11">
        <f>B119+C119</f>
        <v>0</v>
      </c>
      <c r="E119" s="14">
        <f>IF(BAC_Total=0,"",D119/BAC_Total)</f>
        <v>0</v>
      </c>
      <c r="F119" s="11">
        <f>IF(row(A119)=4,0,D119-D118)</f>
        <v>0</v>
      </c>
    </row>
    <row r="120" spans="1:6">
      <c r="A120" s="5">
        <f>StartDate+116</f>
        <v>0</v>
      </c>
      <c r="B120" s="11">
        <f>SUMPRODUCT(Taches!$F$2:$F$21*(A120&gt;=Taches!$C$2:$C$21)*(A120&lt;=Taches!$D$2:$D$21)*((A120-Taches!$C$2:$C$21+1)/(Taches!$D$2:$C$21*0+Taches!$D$2:$D$21-Taches!$C$2:$C$21+1)))+SUMPRODUCT(Taches!$F$2:$F$21*(A120&gt;Taches!$D$2:$D$21))</f>
        <v>0</v>
      </c>
      <c r="C120" s="11">
        <f>BAC_Total*SUMIF(Jalons!$B$4:$B$9,"&lt;="&amp;A120,Jalons!$C$4:$C$9)</f>
        <v>0</v>
      </c>
      <c r="D120" s="11">
        <f>B120+C120</f>
        <v>0</v>
      </c>
      <c r="E120" s="14">
        <f>IF(BAC_Total=0,"",D120/BAC_Total)</f>
        <v>0</v>
      </c>
      <c r="F120" s="11">
        <f>IF(row(A120)=4,0,D120-D119)</f>
        <v>0</v>
      </c>
    </row>
    <row r="121" spans="1:6">
      <c r="A121" s="5">
        <f>StartDate+117</f>
        <v>0</v>
      </c>
      <c r="B121" s="11">
        <f>SUMPRODUCT(Taches!$F$2:$F$21*(A121&gt;=Taches!$C$2:$C$21)*(A121&lt;=Taches!$D$2:$D$21)*((A121-Taches!$C$2:$C$21+1)/(Taches!$D$2:$C$21*0+Taches!$D$2:$D$21-Taches!$C$2:$C$21+1)))+SUMPRODUCT(Taches!$F$2:$F$21*(A121&gt;Taches!$D$2:$D$21))</f>
        <v>0</v>
      </c>
      <c r="C121" s="11">
        <f>BAC_Total*SUMIF(Jalons!$B$4:$B$9,"&lt;="&amp;A121,Jalons!$C$4:$C$9)</f>
        <v>0</v>
      </c>
      <c r="D121" s="11">
        <f>B121+C121</f>
        <v>0</v>
      </c>
      <c r="E121" s="14">
        <f>IF(BAC_Total=0,"",D121/BAC_Total)</f>
        <v>0</v>
      </c>
      <c r="F121" s="11">
        <f>IF(row(A121)=4,0,D121-D120)</f>
        <v>0</v>
      </c>
    </row>
    <row r="122" spans="1:6">
      <c r="A122" s="5">
        <f>StartDate+118</f>
        <v>0</v>
      </c>
      <c r="B122" s="11">
        <f>SUMPRODUCT(Taches!$F$2:$F$21*(A122&gt;=Taches!$C$2:$C$21)*(A122&lt;=Taches!$D$2:$D$21)*((A122-Taches!$C$2:$C$21+1)/(Taches!$D$2:$C$21*0+Taches!$D$2:$D$21-Taches!$C$2:$C$21+1)))+SUMPRODUCT(Taches!$F$2:$F$21*(A122&gt;Taches!$D$2:$D$21))</f>
        <v>0</v>
      </c>
      <c r="C122" s="11">
        <f>BAC_Total*SUMIF(Jalons!$B$4:$B$9,"&lt;="&amp;A122,Jalons!$C$4:$C$9)</f>
        <v>0</v>
      </c>
      <c r="D122" s="11">
        <f>B122+C122</f>
        <v>0</v>
      </c>
      <c r="E122" s="14">
        <f>IF(BAC_Total=0,"",D122/BAC_Total)</f>
        <v>0</v>
      </c>
      <c r="F122" s="11">
        <f>IF(row(A122)=4,0,D122-D121)</f>
        <v>0</v>
      </c>
    </row>
    <row r="123" spans="1:6">
      <c r="A123" s="5">
        <f>StartDate+119</f>
        <v>0</v>
      </c>
      <c r="B123" s="11">
        <f>SUMPRODUCT(Taches!$F$2:$F$21*(A123&gt;=Taches!$C$2:$C$21)*(A123&lt;=Taches!$D$2:$D$21)*((A123-Taches!$C$2:$C$21+1)/(Taches!$D$2:$C$21*0+Taches!$D$2:$D$21-Taches!$C$2:$C$21+1)))+SUMPRODUCT(Taches!$F$2:$F$21*(A123&gt;Taches!$D$2:$D$21))</f>
        <v>0</v>
      </c>
      <c r="C123" s="11">
        <f>BAC_Total*SUMIF(Jalons!$B$4:$B$9,"&lt;="&amp;A123,Jalons!$C$4:$C$9)</f>
        <v>0</v>
      </c>
      <c r="D123" s="11">
        <f>B123+C123</f>
        <v>0</v>
      </c>
      <c r="E123" s="14">
        <f>IF(BAC_Total=0,"",D123/BAC_Total)</f>
        <v>0</v>
      </c>
      <c r="F123" s="11">
        <f>IF(row(A123)=4,0,D123-D122)</f>
        <v>0</v>
      </c>
    </row>
    <row r="124" spans="1:6">
      <c r="A124" s="5">
        <f>StartDate+120</f>
        <v>0</v>
      </c>
      <c r="B124" s="11">
        <f>SUMPRODUCT(Taches!$F$2:$F$21*(A124&gt;=Taches!$C$2:$C$21)*(A124&lt;=Taches!$D$2:$D$21)*((A124-Taches!$C$2:$C$21+1)/(Taches!$D$2:$C$21*0+Taches!$D$2:$D$21-Taches!$C$2:$C$21+1)))+SUMPRODUCT(Taches!$F$2:$F$21*(A124&gt;Taches!$D$2:$D$21))</f>
        <v>0</v>
      </c>
      <c r="C124" s="11">
        <f>BAC_Total*SUMIF(Jalons!$B$4:$B$9,"&lt;="&amp;A124,Jalons!$C$4:$C$9)</f>
        <v>0</v>
      </c>
      <c r="D124" s="11">
        <f>B124+C124</f>
        <v>0</v>
      </c>
      <c r="E124" s="14">
        <f>IF(BAC_Total=0,"",D124/BAC_Total)</f>
        <v>0</v>
      </c>
      <c r="F124" s="11">
        <f>IF(row(A124)=4,0,D124-D123)</f>
        <v>0</v>
      </c>
    </row>
    <row r="125" spans="1:6">
      <c r="A125" s="5">
        <f>StartDate+121</f>
        <v>0</v>
      </c>
      <c r="B125" s="11">
        <f>SUMPRODUCT(Taches!$F$2:$F$21*(A125&gt;=Taches!$C$2:$C$21)*(A125&lt;=Taches!$D$2:$D$21)*((A125-Taches!$C$2:$C$21+1)/(Taches!$D$2:$C$21*0+Taches!$D$2:$D$21-Taches!$C$2:$C$21+1)))+SUMPRODUCT(Taches!$F$2:$F$21*(A125&gt;Taches!$D$2:$D$21))</f>
        <v>0</v>
      </c>
      <c r="C125" s="11">
        <f>BAC_Total*SUMIF(Jalons!$B$4:$B$9,"&lt;="&amp;A125,Jalons!$C$4:$C$9)</f>
        <v>0</v>
      </c>
      <c r="D125" s="11">
        <f>B125+C125</f>
        <v>0</v>
      </c>
      <c r="E125" s="14">
        <f>IF(BAC_Total=0,"",D125/BAC_Total)</f>
        <v>0</v>
      </c>
      <c r="F125" s="11">
        <f>IF(row(A125)=4,0,D125-D124)</f>
        <v>0</v>
      </c>
    </row>
    <row r="126" spans="1:6">
      <c r="A126" s="5">
        <f>StartDate+122</f>
        <v>0</v>
      </c>
      <c r="B126" s="11">
        <f>SUMPRODUCT(Taches!$F$2:$F$21*(A126&gt;=Taches!$C$2:$C$21)*(A126&lt;=Taches!$D$2:$D$21)*((A126-Taches!$C$2:$C$21+1)/(Taches!$D$2:$C$21*0+Taches!$D$2:$D$21-Taches!$C$2:$C$21+1)))+SUMPRODUCT(Taches!$F$2:$F$21*(A126&gt;Taches!$D$2:$D$21))</f>
        <v>0</v>
      </c>
      <c r="C126" s="11">
        <f>BAC_Total*SUMIF(Jalons!$B$4:$B$9,"&lt;="&amp;A126,Jalons!$C$4:$C$9)</f>
        <v>0</v>
      </c>
      <c r="D126" s="11">
        <f>B126+C126</f>
        <v>0</v>
      </c>
      <c r="E126" s="14">
        <f>IF(BAC_Total=0,"",D126/BAC_Total)</f>
        <v>0</v>
      </c>
      <c r="F126" s="11">
        <f>IF(row(A126)=4,0,D126-D125)</f>
        <v>0</v>
      </c>
    </row>
    <row r="127" spans="1:6">
      <c r="A127" s="5">
        <f>StartDate+123</f>
        <v>0</v>
      </c>
      <c r="B127" s="11">
        <f>SUMPRODUCT(Taches!$F$2:$F$21*(A127&gt;=Taches!$C$2:$C$21)*(A127&lt;=Taches!$D$2:$D$21)*((A127-Taches!$C$2:$C$21+1)/(Taches!$D$2:$C$21*0+Taches!$D$2:$D$21-Taches!$C$2:$C$21+1)))+SUMPRODUCT(Taches!$F$2:$F$21*(A127&gt;Taches!$D$2:$D$21))</f>
        <v>0</v>
      </c>
      <c r="C127" s="11">
        <f>BAC_Total*SUMIF(Jalons!$B$4:$B$9,"&lt;="&amp;A127,Jalons!$C$4:$C$9)</f>
        <v>0</v>
      </c>
      <c r="D127" s="11">
        <f>B127+C127</f>
        <v>0</v>
      </c>
      <c r="E127" s="14">
        <f>IF(BAC_Total=0,"",D127/BAC_Total)</f>
        <v>0</v>
      </c>
      <c r="F127" s="11">
        <f>IF(row(A127)=4,0,D127-D126)</f>
        <v>0</v>
      </c>
    </row>
    <row r="128" spans="1:6">
      <c r="A128" s="5">
        <f>StartDate+124</f>
        <v>0</v>
      </c>
      <c r="B128" s="11">
        <f>SUMPRODUCT(Taches!$F$2:$F$21*(A128&gt;=Taches!$C$2:$C$21)*(A128&lt;=Taches!$D$2:$D$21)*((A128-Taches!$C$2:$C$21+1)/(Taches!$D$2:$C$21*0+Taches!$D$2:$D$21-Taches!$C$2:$C$21+1)))+SUMPRODUCT(Taches!$F$2:$F$21*(A128&gt;Taches!$D$2:$D$21))</f>
        <v>0</v>
      </c>
      <c r="C128" s="11">
        <f>BAC_Total*SUMIF(Jalons!$B$4:$B$9,"&lt;="&amp;A128,Jalons!$C$4:$C$9)</f>
        <v>0</v>
      </c>
      <c r="D128" s="11">
        <f>B128+C128</f>
        <v>0</v>
      </c>
      <c r="E128" s="14">
        <f>IF(BAC_Total=0,"",D128/BAC_Total)</f>
        <v>0</v>
      </c>
      <c r="F128" s="11">
        <f>IF(row(A128)=4,0,D128-D127)</f>
        <v>0</v>
      </c>
    </row>
    <row r="129" spans="1:6">
      <c r="A129" s="5">
        <f>StartDate+125</f>
        <v>0</v>
      </c>
      <c r="B129" s="11">
        <f>SUMPRODUCT(Taches!$F$2:$F$21*(A129&gt;=Taches!$C$2:$C$21)*(A129&lt;=Taches!$D$2:$D$21)*((A129-Taches!$C$2:$C$21+1)/(Taches!$D$2:$C$21*0+Taches!$D$2:$D$21-Taches!$C$2:$C$21+1)))+SUMPRODUCT(Taches!$F$2:$F$21*(A129&gt;Taches!$D$2:$D$21))</f>
        <v>0</v>
      </c>
      <c r="C129" s="11">
        <f>BAC_Total*SUMIF(Jalons!$B$4:$B$9,"&lt;="&amp;A129,Jalons!$C$4:$C$9)</f>
        <v>0</v>
      </c>
      <c r="D129" s="11">
        <f>B129+C129</f>
        <v>0</v>
      </c>
      <c r="E129" s="14">
        <f>IF(BAC_Total=0,"",D129/BAC_Total)</f>
        <v>0</v>
      </c>
      <c r="F129" s="11">
        <f>IF(row(A129)=4,0,D129-D128)</f>
        <v>0</v>
      </c>
    </row>
    <row r="130" spans="1:6">
      <c r="A130" s="5">
        <f>StartDate+126</f>
        <v>0</v>
      </c>
      <c r="B130" s="11">
        <f>SUMPRODUCT(Taches!$F$2:$F$21*(A130&gt;=Taches!$C$2:$C$21)*(A130&lt;=Taches!$D$2:$D$21)*((A130-Taches!$C$2:$C$21+1)/(Taches!$D$2:$C$21*0+Taches!$D$2:$D$21-Taches!$C$2:$C$21+1)))+SUMPRODUCT(Taches!$F$2:$F$21*(A130&gt;Taches!$D$2:$D$21))</f>
        <v>0</v>
      </c>
      <c r="C130" s="11">
        <f>BAC_Total*SUMIF(Jalons!$B$4:$B$9,"&lt;="&amp;A130,Jalons!$C$4:$C$9)</f>
        <v>0</v>
      </c>
      <c r="D130" s="11">
        <f>B130+C130</f>
        <v>0</v>
      </c>
      <c r="E130" s="14">
        <f>IF(BAC_Total=0,"",D130/BAC_Total)</f>
        <v>0</v>
      </c>
      <c r="F130" s="11">
        <f>IF(row(A130)=4,0,D130-D129)</f>
        <v>0</v>
      </c>
    </row>
    <row r="131" spans="1:6">
      <c r="A131" s="5">
        <f>StartDate+127</f>
        <v>0</v>
      </c>
      <c r="B131" s="11">
        <f>SUMPRODUCT(Taches!$F$2:$F$21*(A131&gt;=Taches!$C$2:$C$21)*(A131&lt;=Taches!$D$2:$D$21)*((A131-Taches!$C$2:$C$21+1)/(Taches!$D$2:$C$21*0+Taches!$D$2:$D$21-Taches!$C$2:$C$21+1)))+SUMPRODUCT(Taches!$F$2:$F$21*(A131&gt;Taches!$D$2:$D$21))</f>
        <v>0</v>
      </c>
      <c r="C131" s="11">
        <f>BAC_Total*SUMIF(Jalons!$B$4:$B$9,"&lt;="&amp;A131,Jalons!$C$4:$C$9)</f>
        <v>0</v>
      </c>
      <c r="D131" s="11">
        <f>B131+C131</f>
        <v>0</v>
      </c>
      <c r="E131" s="14">
        <f>IF(BAC_Total=0,"",D131/BAC_Total)</f>
        <v>0</v>
      </c>
      <c r="F131" s="11">
        <f>IF(row(A131)=4,0,D131-D130)</f>
        <v>0</v>
      </c>
    </row>
    <row r="132" spans="1:6">
      <c r="A132" s="5">
        <f>StartDate+128</f>
        <v>0</v>
      </c>
      <c r="B132" s="11">
        <f>SUMPRODUCT(Taches!$F$2:$F$21*(A132&gt;=Taches!$C$2:$C$21)*(A132&lt;=Taches!$D$2:$D$21)*((A132-Taches!$C$2:$C$21+1)/(Taches!$D$2:$C$21*0+Taches!$D$2:$D$21-Taches!$C$2:$C$21+1)))+SUMPRODUCT(Taches!$F$2:$F$21*(A132&gt;Taches!$D$2:$D$21))</f>
        <v>0</v>
      </c>
      <c r="C132" s="11">
        <f>BAC_Total*SUMIF(Jalons!$B$4:$B$9,"&lt;="&amp;A132,Jalons!$C$4:$C$9)</f>
        <v>0</v>
      </c>
      <c r="D132" s="11">
        <f>B132+C132</f>
        <v>0</v>
      </c>
      <c r="E132" s="14">
        <f>IF(BAC_Total=0,"",D132/BAC_Total)</f>
        <v>0</v>
      </c>
      <c r="F132" s="11">
        <f>IF(row(A132)=4,0,D132-D131)</f>
        <v>0</v>
      </c>
    </row>
    <row r="133" spans="1:6">
      <c r="A133" s="5">
        <f>StartDate+129</f>
        <v>0</v>
      </c>
      <c r="B133" s="11">
        <f>SUMPRODUCT(Taches!$F$2:$F$21*(A133&gt;=Taches!$C$2:$C$21)*(A133&lt;=Taches!$D$2:$D$21)*((A133-Taches!$C$2:$C$21+1)/(Taches!$D$2:$C$21*0+Taches!$D$2:$D$21-Taches!$C$2:$C$21+1)))+SUMPRODUCT(Taches!$F$2:$F$21*(A133&gt;Taches!$D$2:$D$21))</f>
        <v>0</v>
      </c>
      <c r="C133" s="11">
        <f>BAC_Total*SUMIF(Jalons!$B$4:$B$9,"&lt;="&amp;A133,Jalons!$C$4:$C$9)</f>
        <v>0</v>
      </c>
      <c r="D133" s="11">
        <f>B133+C133</f>
        <v>0</v>
      </c>
      <c r="E133" s="14">
        <f>IF(BAC_Total=0,"",D133/BAC_Total)</f>
        <v>0</v>
      </c>
      <c r="F133" s="11">
        <f>IF(row(A133)=4,0,D133-D132)</f>
        <v>0</v>
      </c>
    </row>
    <row r="134" spans="1:6">
      <c r="A134" s="5">
        <f>StartDate+130</f>
        <v>0</v>
      </c>
      <c r="B134" s="11">
        <f>SUMPRODUCT(Taches!$F$2:$F$21*(A134&gt;=Taches!$C$2:$C$21)*(A134&lt;=Taches!$D$2:$D$21)*((A134-Taches!$C$2:$C$21+1)/(Taches!$D$2:$C$21*0+Taches!$D$2:$D$21-Taches!$C$2:$C$21+1)))+SUMPRODUCT(Taches!$F$2:$F$21*(A134&gt;Taches!$D$2:$D$21))</f>
        <v>0</v>
      </c>
      <c r="C134" s="11">
        <f>BAC_Total*SUMIF(Jalons!$B$4:$B$9,"&lt;="&amp;A134,Jalons!$C$4:$C$9)</f>
        <v>0</v>
      </c>
      <c r="D134" s="11">
        <f>B134+C134</f>
        <v>0</v>
      </c>
      <c r="E134" s="14">
        <f>IF(BAC_Total=0,"",D134/BAC_Total)</f>
        <v>0</v>
      </c>
      <c r="F134" s="11">
        <f>IF(row(A134)=4,0,D134-D133)</f>
        <v>0</v>
      </c>
    </row>
    <row r="135" spans="1:6">
      <c r="A135" s="5">
        <f>StartDate+131</f>
        <v>0</v>
      </c>
      <c r="B135" s="11">
        <f>SUMPRODUCT(Taches!$F$2:$F$21*(A135&gt;=Taches!$C$2:$C$21)*(A135&lt;=Taches!$D$2:$D$21)*((A135-Taches!$C$2:$C$21+1)/(Taches!$D$2:$C$21*0+Taches!$D$2:$D$21-Taches!$C$2:$C$21+1)))+SUMPRODUCT(Taches!$F$2:$F$21*(A135&gt;Taches!$D$2:$D$21))</f>
        <v>0</v>
      </c>
      <c r="C135" s="11">
        <f>BAC_Total*SUMIF(Jalons!$B$4:$B$9,"&lt;="&amp;A135,Jalons!$C$4:$C$9)</f>
        <v>0</v>
      </c>
      <c r="D135" s="11">
        <f>B135+C135</f>
        <v>0</v>
      </c>
      <c r="E135" s="14">
        <f>IF(BAC_Total=0,"",D135/BAC_Total)</f>
        <v>0</v>
      </c>
      <c r="F135" s="11">
        <f>IF(row(A135)=4,0,D135-D134)</f>
        <v>0</v>
      </c>
    </row>
    <row r="136" spans="1:6">
      <c r="A136" s="5">
        <f>StartDate+132</f>
        <v>0</v>
      </c>
      <c r="B136" s="11">
        <f>SUMPRODUCT(Taches!$F$2:$F$21*(A136&gt;=Taches!$C$2:$C$21)*(A136&lt;=Taches!$D$2:$D$21)*((A136-Taches!$C$2:$C$21+1)/(Taches!$D$2:$C$21*0+Taches!$D$2:$D$21-Taches!$C$2:$C$21+1)))+SUMPRODUCT(Taches!$F$2:$F$21*(A136&gt;Taches!$D$2:$D$21))</f>
        <v>0</v>
      </c>
      <c r="C136" s="11">
        <f>BAC_Total*SUMIF(Jalons!$B$4:$B$9,"&lt;="&amp;A136,Jalons!$C$4:$C$9)</f>
        <v>0</v>
      </c>
      <c r="D136" s="11">
        <f>B136+C136</f>
        <v>0</v>
      </c>
      <c r="E136" s="14">
        <f>IF(BAC_Total=0,"",D136/BAC_Total)</f>
        <v>0</v>
      </c>
      <c r="F136" s="11">
        <f>IF(row(A136)=4,0,D136-D135)</f>
        <v>0</v>
      </c>
    </row>
    <row r="137" spans="1:6">
      <c r="A137" s="5">
        <f>StartDate+133</f>
        <v>0</v>
      </c>
      <c r="B137" s="11">
        <f>SUMPRODUCT(Taches!$F$2:$F$21*(A137&gt;=Taches!$C$2:$C$21)*(A137&lt;=Taches!$D$2:$D$21)*((A137-Taches!$C$2:$C$21+1)/(Taches!$D$2:$C$21*0+Taches!$D$2:$D$21-Taches!$C$2:$C$21+1)))+SUMPRODUCT(Taches!$F$2:$F$21*(A137&gt;Taches!$D$2:$D$21))</f>
        <v>0</v>
      </c>
      <c r="C137" s="11">
        <f>BAC_Total*SUMIF(Jalons!$B$4:$B$9,"&lt;="&amp;A137,Jalons!$C$4:$C$9)</f>
        <v>0</v>
      </c>
      <c r="D137" s="11">
        <f>B137+C137</f>
        <v>0</v>
      </c>
      <c r="E137" s="14">
        <f>IF(BAC_Total=0,"",D137/BAC_Total)</f>
        <v>0</v>
      </c>
      <c r="F137" s="11">
        <f>IF(row(A137)=4,0,D137-D136)</f>
        <v>0</v>
      </c>
    </row>
    <row r="138" spans="1:6">
      <c r="A138" s="5">
        <f>StartDate+134</f>
        <v>0</v>
      </c>
      <c r="B138" s="11">
        <f>SUMPRODUCT(Taches!$F$2:$F$21*(A138&gt;=Taches!$C$2:$C$21)*(A138&lt;=Taches!$D$2:$D$21)*((A138-Taches!$C$2:$C$21+1)/(Taches!$D$2:$C$21*0+Taches!$D$2:$D$21-Taches!$C$2:$C$21+1)))+SUMPRODUCT(Taches!$F$2:$F$21*(A138&gt;Taches!$D$2:$D$21))</f>
        <v>0</v>
      </c>
      <c r="C138" s="11">
        <f>BAC_Total*SUMIF(Jalons!$B$4:$B$9,"&lt;="&amp;A138,Jalons!$C$4:$C$9)</f>
        <v>0</v>
      </c>
      <c r="D138" s="11">
        <f>B138+C138</f>
        <v>0</v>
      </c>
      <c r="E138" s="14">
        <f>IF(BAC_Total=0,"",D138/BAC_Total)</f>
        <v>0</v>
      </c>
      <c r="F138" s="11">
        <f>IF(row(A138)=4,0,D138-D137)</f>
        <v>0</v>
      </c>
    </row>
    <row r="139" spans="1:6">
      <c r="A139" s="5">
        <f>StartDate+135</f>
        <v>0</v>
      </c>
      <c r="B139" s="11">
        <f>SUMPRODUCT(Taches!$F$2:$F$21*(A139&gt;=Taches!$C$2:$C$21)*(A139&lt;=Taches!$D$2:$D$21)*((A139-Taches!$C$2:$C$21+1)/(Taches!$D$2:$C$21*0+Taches!$D$2:$D$21-Taches!$C$2:$C$21+1)))+SUMPRODUCT(Taches!$F$2:$F$21*(A139&gt;Taches!$D$2:$D$21))</f>
        <v>0</v>
      </c>
      <c r="C139" s="11">
        <f>BAC_Total*SUMIF(Jalons!$B$4:$B$9,"&lt;="&amp;A139,Jalons!$C$4:$C$9)</f>
        <v>0</v>
      </c>
      <c r="D139" s="11">
        <f>B139+C139</f>
        <v>0</v>
      </c>
      <c r="E139" s="14">
        <f>IF(BAC_Total=0,"",D139/BAC_Total)</f>
        <v>0</v>
      </c>
      <c r="F139" s="11">
        <f>IF(row(A139)=4,0,D139-D138)</f>
        <v>0</v>
      </c>
    </row>
    <row r="140" spans="1:6">
      <c r="A140" s="5">
        <f>StartDate+136</f>
        <v>0</v>
      </c>
      <c r="B140" s="11">
        <f>SUMPRODUCT(Taches!$F$2:$F$21*(A140&gt;=Taches!$C$2:$C$21)*(A140&lt;=Taches!$D$2:$D$21)*((A140-Taches!$C$2:$C$21+1)/(Taches!$D$2:$C$21*0+Taches!$D$2:$D$21-Taches!$C$2:$C$21+1)))+SUMPRODUCT(Taches!$F$2:$F$21*(A140&gt;Taches!$D$2:$D$21))</f>
        <v>0</v>
      </c>
      <c r="C140" s="11">
        <f>BAC_Total*SUMIF(Jalons!$B$4:$B$9,"&lt;="&amp;A140,Jalons!$C$4:$C$9)</f>
        <v>0</v>
      </c>
      <c r="D140" s="11">
        <f>B140+C140</f>
        <v>0</v>
      </c>
      <c r="E140" s="14">
        <f>IF(BAC_Total=0,"",D140/BAC_Total)</f>
        <v>0</v>
      </c>
      <c r="F140" s="11">
        <f>IF(row(A140)=4,0,D140-D139)</f>
        <v>0</v>
      </c>
    </row>
    <row r="141" spans="1:6">
      <c r="A141" s="5">
        <f>StartDate+137</f>
        <v>0</v>
      </c>
      <c r="B141" s="11">
        <f>SUMPRODUCT(Taches!$F$2:$F$21*(A141&gt;=Taches!$C$2:$C$21)*(A141&lt;=Taches!$D$2:$D$21)*((A141-Taches!$C$2:$C$21+1)/(Taches!$D$2:$C$21*0+Taches!$D$2:$D$21-Taches!$C$2:$C$21+1)))+SUMPRODUCT(Taches!$F$2:$F$21*(A141&gt;Taches!$D$2:$D$21))</f>
        <v>0</v>
      </c>
      <c r="C141" s="11">
        <f>BAC_Total*SUMIF(Jalons!$B$4:$B$9,"&lt;="&amp;A141,Jalons!$C$4:$C$9)</f>
        <v>0</v>
      </c>
      <c r="D141" s="11">
        <f>B141+C141</f>
        <v>0</v>
      </c>
      <c r="E141" s="14">
        <f>IF(BAC_Total=0,"",D141/BAC_Total)</f>
        <v>0</v>
      </c>
      <c r="F141" s="11">
        <f>IF(row(A141)=4,0,D141-D140)</f>
        <v>0</v>
      </c>
    </row>
    <row r="142" spans="1:6">
      <c r="A142" s="5">
        <f>StartDate+138</f>
        <v>0</v>
      </c>
      <c r="B142" s="11">
        <f>SUMPRODUCT(Taches!$F$2:$F$21*(A142&gt;=Taches!$C$2:$C$21)*(A142&lt;=Taches!$D$2:$D$21)*((A142-Taches!$C$2:$C$21+1)/(Taches!$D$2:$C$21*0+Taches!$D$2:$D$21-Taches!$C$2:$C$21+1)))+SUMPRODUCT(Taches!$F$2:$F$21*(A142&gt;Taches!$D$2:$D$21))</f>
        <v>0</v>
      </c>
      <c r="C142" s="11">
        <f>BAC_Total*SUMIF(Jalons!$B$4:$B$9,"&lt;="&amp;A142,Jalons!$C$4:$C$9)</f>
        <v>0</v>
      </c>
      <c r="D142" s="11">
        <f>B142+C142</f>
        <v>0</v>
      </c>
      <c r="E142" s="14">
        <f>IF(BAC_Total=0,"",D142/BAC_Total)</f>
        <v>0</v>
      </c>
      <c r="F142" s="11">
        <f>IF(row(A142)=4,0,D142-D141)</f>
        <v>0</v>
      </c>
    </row>
    <row r="143" spans="1:6">
      <c r="A143" s="5">
        <f>StartDate+139</f>
        <v>0</v>
      </c>
      <c r="B143" s="11">
        <f>SUMPRODUCT(Taches!$F$2:$F$21*(A143&gt;=Taches!$C$2:$C$21)*(A143&lt;=Taches!$D$2:$D$21)*((A143-Taches!$C$2:$C$21+1)/(Taches!$D$2:$C$21*0+Taches!$D$2:$D$21-Taches!$C$2:$C$21+1)))+SUMPRODUCT(Taches!$F$2:$F$21*(A143&gt;Taches!$D$2:$D$21))</f>
        <v>0</v>
      </c>
      <c r="C143" s="11">
        <f>BAC_Total*SUMIF(Jalons!$B$4:$B$9,"&lt;="&amp;A143,Jalons!$C$4:$C$9)</f>
        <v>0</v>
      </c>
      <c r="D143" s="11">
        <f>B143+C143</f>
        <v>0</v>
      </c>
      <c r="E143" s="14">
        <f>IF(BAC_Total=0,"",D143/BAC_Total)</f>
        <v>0</v>
      </c>
      <c r="F143" s="11">
        <f>IF(row(A143)=4,0,D143-D142)</f>
        <v>0</v>
      </c>
    </row>
    <row r="144" spans="1:6">
      <c r="A144" s="5">
        <f>StartDate+140</f>
        <v>0</v>
      </c>
      <c r="B144" s="11">
        <f>SUMPRODUCT(Taches!$F$2:$F$21*(A144&gt;=Taches!$C$2:$C$21)*(A144&lt;=Taches!$D$2:$D$21)*((A144-Taches!$C$2:$C$21+1)/(Taches!$D$2:$C$21*0+Taches!$D$2:$D$21-Taches!$C$2:$C$21+1)))+SUMPRODUCT(Taches!$F$2:$F$21*(A144&gt;Taches!$D$2:$D$21))</f>
        <v>0</v>
      </c>
      <c r="C144" s="11">
        <f>BAC_Total*SUMIF(Jalons!$B$4:$B$9,"&lt;="&amp;A144,Jalons!$C$4:$C$9)</f>
        <v>0</v>
      </c>
      <c r="D144" s="11">
        <f>B144+C144</f>
        <v>0</v>
      </c>
      <c r="E144" s="14">
        <f>IF(BAC_Total=0,"",D144/BAC_Total)</f>
        <v>0</v>
      </c>
      <c r="F144" s="11">
        <f>IF(row(A144)=4,0,D144-D143)</f>
        <v>0</v>
      </c>
    </row>
    <row r="145" spans="1:6">
      <c r="A145" s="5">
        <f>StartDate+141</f>
        <v>0</v>
      </c>
      <c r="B145" s="11">
        <f>SUMPRODUCT(Taches!$F$2:$F$21*(A145&gt;=Taches!$C$2:$C$21)*(A145&lt;=Taches!$D$2:$D$21)*((A145-Taches!$C$2:$C$21+1)/(Taches!$D$2:$C$21*0+Taches!$D$2:$D$21-Taches!$C$2:$C$21+1)))+SUMPRODUCT(Taches!$F$2:$F$21*(A145&gt;Taches!$D$2:$D$21))</f>
        <v>0</v>
      </c>
      <c r="C145" s="11">
        <f>BAC_Total*SUMIF(Jalons!$B$4:$B$9,"&lt;="&amp;A145,Jalons!$C$4:$C$9)</f>
        <v>0</v>
      </c>
      <c r="D145" s="11">
        <f>B145+C145</f>
        <v>0</v>
      </c>
      <c r="E145" s="14">
        <f>IF(BAC_Total=0,"",D145/BAC_Total)</f>
        <v>0</v>
      </c>
      <c r="F145" s="11">
        <f>IF(row(A145)=4,0,D145-D144)</f>
        <v>0</v>
      </c>
    </row>
    <row r="146" spans="1:6">
      <c r="A146" s="5">
        <f>StartDate+142</f>
        <v>0</v>
      </c>
      <c r="B146" s="11">
        <f>SUMPRODUCT(Taches!$F$2:$F$21*(A146&gt;=Taches!$C$2:$C$21)*(A146&lt;=Taches!$D$2:$D$21)*((A146-Taches!$C$2:$C$21+1)/(Taches!$D$2:$C$21*0+Taches!$D$2:$D$21-Taches!$C$2:$C$21+1)))+SUMPRODUCT(Taches!$F$2:$F$21*(A146&gt;Taches!$D$2:$D$21))</f>
        <v>0</v>
      </c>
      <c r="C146" s="11">
        <f>BAC_Total*SUMIF(Jalons!$B$4:$B$9,"&lt;="&amp;A146,Jalons!$C$4:$C$9)</f>
        <v>0</v>
      </c>
      <c r="D146" s="11">
        <f>B146+C146</f>
        <v>0</v>
      </c>
      <c r="E146" s="14">
        <f>IF(BAC_Total=0,"",D146/BAC_Total)</f>
        <v>0</v>
      </c>
      <c r="F146" s="11">
        <f>IF(row(A146)=4,0,D146-D145)</f>
        <v>0</v>
      </c>
    </row>
    <row r="147" spans="1:6">
      <c r="A147" s="5">
        <f>StartDate+143</f>
        <v>0</v>
      </c>
      <c r="B147" s="11">
        <f>SUMPRODUCT(Taches!$F$2:$F$21*(A147&gt;=Taches!$C$2:$C$21)*(A147&lt;=Taches!$D$2:$D$21)*((A147-Taches!$C$2:$C$21+1)/(Taches!$D$2:$C$21*0+Taches!$D$2:$D$21-Taches!$C$2:$C$21+1)))+SUMPRODUCT(Taches!$F$2:$F$21*(A147&gt;Taches!$D$2:$D$21))</f>
        <v>0</v>
      </c>
      <c r="C147" s="11">
        <f>BAC_Total*SUMIF(Jalons!$B$4:$B$9,"&lt;="&amp;A147,Jalons!$C$4:$C$9)</f>
        <v>0</v>
      </c>
      <c r="D147" s="11">
        <f>B147+C147</f>
        <v>0</v>
      </c>
      <c r="E147" s="14">
        <f>IF(BAC_Total=0,"",D147/BAC_Total)</f>
        <v>0</v>
      </c>
      <c r="F147" s="11">
        <f>IF(row(A147)=4,0,D147-D146)</f>
        <v>0</v>
      </c>
    </row>
    <row r="148" spans="1:6">
      <c r="A148" s="5">
        <f>StartDate+144</f>
        <v>0</v>
      </c>
      <c r="B148" s="11">
        <f>SUMPRODUCT(Taches!$F$2:$F$21*(A148&gt;=Taches!$C$2:$C$21)*(A148&lt;=Taches!$D$2:$D$21)*((A148-Taches!$C$2:$C$21+1)/(Taches!$D$2:$C$21*0+Taches!$D$2:$D$21-Taches!$C$2:$C$21+1)))+SUMPRODUCT(Taches!$F$2:$F$21*(A148&gt;Taches!$D$2:$D$21))</f>
        <v>0</v>
      </c>
      <c r="C148" s="11">
        <f>BAC_Total*SUMIF(Jalons!$B$4:$B$9,"&lt;="&amp;A148,Jalons!$C$4:$C$9)</f>
        <v>0</v>
      </c>
      <c r="D148" s="11">
        <f>B148+C148</f>
        <v>0</v>
      </c>
      <c r="E148" s="14">
        <f>IF(BAC_Total=0,"",D148/BAC_Total)</f>
        <v>0</v>
      </c>
      <c r="F148" s="11">
        <f>IF(row(A148)=4,0,D148-D147)</f>
        <v>0</v>
      </c>
    </row>
    <row r="149" spans="1:6">
      <c r="A149" s="5">
        <f>StartDate+145</f>
        <v>0</v>
      </c>
      <c r="B149" s="11">
        <f>SUMPRODUCT(Taches!$F$2:$F$21*(A149&gt;=Taches!$C$2:$C$21)*(A149&lt;=Taches!$D$2:$D$21)*((A149-Taches!$C$2:$C$21+1)/(Taches!$D$2:$C$21*0+Taches!$D$2:$D$21-Taches!$C$2:$C$21+1)))+SUMPRODUCT(Taches!$F$2:$F$21*(A149&gt;Taches!$D$2:$D$21))</f>
        <v>0</v>
      </c>
      <c r="C149" s="11">
        <f>BAC_Total*SUMIF(Jalons!$B$4:$B$9,"&lt;="&amp;A149,Jalons!$C$4:$C$9)</f>
        <v>0</v>
      </c>
      <c r="D149" s="11">
        <f>B149+C149</f>
        <v>0</v>
      </c>
      <c r="E149" s="14">
        <f>IF(BAC_Total=0,"",D149/BAC_Total)</f>
        <v>0</v>
      </c>
      <c r="F149" s="11">
        <f>IF(row(A149)=4,0,D149-D148)</f>
        <v>0</v>
      </c>
    </row>
    <row r="150" spans="1:6">
      <c r="A150" s="5">
        <f>StartDate+146</f>
        <v>0</v>
      </c>
      <c r="B150" s="11">
        <f>SUMPRODUCT(Taches!$F$2:$F$21*(A150&gt;=Taches!$C$2:$C$21)*(A150&lt;=Taches!$D$2:$D$21)*((A150-Taches!$C$2:$C$21+1)/(Taches!$D$2:$C$21*0+Taches!$D$2:$D$21-Taches!$C$2:$C$21+1)))+SUMPRODUCT(Taches!$F$2:$F$21*(A150&gt;Taches!$D$2:$D$21))</f>
        <v>0</v>
      </c>
      <c r="C150" s="11">
        <f>BAC_Total*SUMIF(Jalons!$B$4:$B$9,"&lt;="&amp;A150,Jalons!$C$4:$C$9)</f>
        <v>0</v>
      </c>
      <c r="D150" s="11">
        <f>B150+C150</f>
        <v>0</v>
      </c>
      <c r="E150" s="14">
        <f>IF(BAC_Total=0,"",D150/BAC_Total)</f>
        <v>0</v>
      </c>
      <c r="F150" s="11">
        <f>IF(row(A150)=4,0,D150-D149)</f>
        <v>0</v>
      </c>
    </row>
    <row r="151" spans="1:6">
      <c r="A151" s="5">
        <f>StartDate+147</f>
        <v>0</v>
      </c>
      <c r="B151" s="11">
        <f>SUMPRODUCT(Taches!$F$2:$F$21*(A151&gt;=Taches!$C$2:$C$21)*(A151&lt;=Taches!$D$2:$D$21)*((A151-Taches!$C$2:$C$21+1)/(Taches!$D$2:$C$21*0+Taches!$D$2:$D$21-Taches!$C$2:$C$21+1)))+SUMPRODUCT(Taches!$F$2:$F$21*(A151&gt;Taches!$D$2:$D$21))</f>
        <v>0</v>
      </c>
      <c r="C151" s="11">
        <f>BAC_Total*SUMIF(Jalons!$B$4:$B$9,"&lt;="&amp;A151,Jalons!$C$4:$C$9)</f>
        <v>0</v>
      </c>
      <c r="D151" s="11">
        <f>B151+C151</f>
        <v>0</v>
      </c>
      <c r="E151" s="14">
        <f>IF(BAC_Total=0,"",D151/BAC_Total)</f>
        <v>0</v>
      </c>
      <c r="F151" s="11">
        <f>IF(row(A151)=4,0,D151-D150)</f>
        <v>0</v>
      </c>
    </row>
    <row r="152" spans="1:6">
      <c r="A152" s="5">
        <f>StartDate+148</f>
        <v>0</v>
      </c>
      <c r="B152" s="11">
        <f>SUMPRODUCT(Taches!$F$2:$F$21*(A152&gt;=Taches!$C$2:$C$21)*(A152&lt;=Taches!$D$2:$D$21)*((A152-Taches!$C$2:$C$21+1)/(Taches!$D$2:$C$21*0+Taches!$D$2:$D$21-Taches!$C$2:$C$21+1)))+SUMPRODUCT(Taches!$F$2:$F$21*(A152&gt;Taches!$D$2:$D$21))</f>
        <v>0</v>
      </c>
      <c r="C152" s="11">
        <f>BAC_Total*SUMIF(Jalons!$B$4:$B$9,"&lt;="&amp;A152,Jalons!$C$4:$C$9)</f>
        <v>0</v>
      </c>
      <c r="D152" s="11">
        <f>B152+C152</f>
        <v>0</v>
      </c>
      <c r="E152" s="14">
        <f>IF(BAC_Total=0,"",D152/BAC_Total)</f>
        <v>0</v>
      </c>
      <c r="F152" s="11">
        <f>IF(row(A152)=4,0,D152-D151)</f>
        <v>0</v>
      </c>
    </row>
    <row r="153" spans="1:6">
      <c r="A153" s="5">
        <f>StartDate+149</f>
        <v>0</v>
      </c>
      <c r="B153" s="11">
        <f>SUMPRODUCT(Taches!$F$2:$F$21*(A153&gt;=Taches!$C$2:$C$21)*(A153&lt;=Taches!$D$2:$D$21)*((A153-Taches!$C$2:$C$21+1)/(Taches!$D$2:$C$21*0+Taches!$D$2:$D$21-Taches!$C$2:$C$21+1)))+SUMPRODUCT(Taches!$F$2:$F$21*(A153&gt;Taches!$D$2:$D$21))</f>
        <v>0</v>
      </c>
      <c r="C153" s="11">
        <f>BAC_Total*SUMIF(Jalons!$B$4:$B$9,"&lt;="&amp;A153,Jalons!$C$4:$C$9)</f>
        <v>0</v>
      </c>
      <c r="D153" s="11">
        <f>B153+C153</f>
        <v>0</v>
      </c>
      <c r="E153" s="14">
        <f>IF(BAC_Total=0,"",D153/BAC_Total)</f>
        <v>0</v>
      </c>
      <c r="F153" s="11">
        <f>IF(row(A153)=4,0,D153-D152)</f>
        <v>0</v>
      </c>
    </row>
    <row r="154" spans="1:6">
      <c r="A154" s="5">
        <f>StartDate+150</f>
        <v>0</v>
      </c>
      <c r="B154" s="11">
        <f>SUMPRODUCT(Taches!$F$2:$F$21*(A154&gt;=Taches!$C$2:$C$21)*(A154&lt;=Taches!$D$2:$D$21)*((A154-Taches!$C$2:$C$21+1)/(Taches!$D$2:$C$21*0+Taches!$D$2:$D$21-Taches!$C$2:$C$21+1)))+SUMPRODUCT(Taches!$F$2:$F$21*(A154&gt;Taches!$D$2:$D$21))</f>
        <v>0</v>
      </c>
      <c r="C154" s="11">
        <f>BAC_Total*SUMIF(Jalons!$B$4:$B$9,"&lt;="&amp;A154,Jalons!$C$4:$C$9)</f>
        <v>0</v>
      </c>
      <c r="D154" s="11">
        <f>B154+C154</f>
        <v>0</v>
      </c>
      <c r="E154" s="14">
        <f>IF(BAC_Total=0,"",D154/BAC_Total)</f>
        <v>0</v>
      </c>
      <c r="F154" s="11">
        <f>IF(row(A154)=4,0,D154-D153)</f>
        <v>0</v>
      </c>
    </row>
    <row r="155" spans="1:6">
      <c r="A155" s="5">
        <f>StartDate+151</f>
        <v>0</v>
      </c>
      <c r="B155" s="11">
        <f>SUMPRODUCT(Taches!$F$2:$F$21*(A155&gt;=Taches!$C$2:$C$21)*(A155&lt;=Taches!$D$2:$D$21)*((A155-Taches!$C$2:$C$21+1)/(Taches!$D$2:$C$21*0+Taches!$D$2:$D$21-Taches!$C$2:$C$21+1)))+SUMPRODUCT(Taches!$F$2:$F$21*(A155&gt;Taches!$D$2:$D$21))</f>
        <v>0</v>
      </c>
      <c r="C155" s="11">
        <f>BAC_Total*SUMIF(Jalons!$B$4:$B$9,"&lt;="&amp;A155,Jalons!$C$4:$C$9)</f>
        <v>0</v>
      </c>
      <c r="D155" s="11">
        <f>B155+C155</f>
        <v>0</v>
      </c>
      <c r="E155" s="14">
        <f>IF(BAC_Total=0,"",D155/BAC_Total)</f>
        <v>0</v>
      </c>
      <c r="F155" s="11">
        <f>IF(row(A155)=4,0,D155-D154)</f>
        <v>0</v>
      </c>
    </row>
    <row r="156" spans="1:6">
      <c r="A156" s="5">
        <f>StartDate+152</f>
        <v>0</v>
      </c>
      <c r="B156" s="11">
        <f>SUMPRODUCT(Taches!$F$2:$F$21*(A156&gt;=Taches!$C$2:$C$21)*(A156&lt;=Taches!$D$2:$D$21)*((A156-Taches!$C$2:$C$21+1)/(Taches!$D$2:$C$21*0+Taches!$D$2:$D$21-Taches!$C$2:$C$21+1)))+SUMPRODUCT(Taches!$F$2:$F$21*(A156&gt;Taches!$D$2:$D$21))</f>
        <v>0</v>
      </c>
      <c r="C156" s="11">
        <f>BAC_Total*SUMIF(Jalons!$B$4:$B$9,"&lt;="&amp;A156,Jalons!$C$4:$C$9)</f>
        <v>0</v>
      </c>
      <c r="D156" s="11">
        <f>B156+C156</f>
        <v>0</v>
      </c>
      <c r="E156" s="14">
        <f>IF(BAC_Total=0,"",D156/BAC_Total)</f>
        <v>0</v>
      </c>
      <c r="F156" s="11">
        <f>IF(row(A156)=4,0,D156-D155)</f>
        <v>0</v>
      </c>
    </row>
    <row r="157" spans="1:6">
      <c r="A157" s="5">
        <f>StartDate+153</f>
        <v>0</v>
      </c>
      <c r="B157" s="11">
        <f>SUMPRODUCT(Taches!$F$2:$F$21*(A157&gt;=Taches!$C$2:$C$21)*(A157&lt;=Taches!$D$2:$D$21)*((A157-Taches!$C$2:$C$21+1)/(Taches!$D$2:$C$21*0+Taches!$D$2:$D$21-Taches!$C$2:$C$21+1)))+SUMPRODUCT(Taches!$F$2:$F$21*(A157&gt;Taches!$D$2:$D$21))</f>
        <v>0</v>
      </c>
      <c r="C157" s="11">
        <f>BAC_Total*SUMIF(Jalons!$B$4:$B$9,"&lt;="&amp;A157,Jalons!$C$4:$C$9)</f>
        <v>0</v>
      </c>
      <c r="D157" s="11">
        <f>B157+C157</f>
        <v>0</v>
      </c>
      <c r="E157" s="14">
        <f>IF(BAC_Total=0,"",D157/BAC_Total)</f>
        <v>0</v>
      </c>
      <c r="F157" s="11">
        <f>IF(row(A157)=4,0,D157-D156)</f>
        <v>0</v>
      </c>
    </row>
    <row r="158" spans="1:6">
      <c r="A158" s="5">
        <f>StartDate+154</f>
        <v>0</v>
      </c>
      <c r="B158" s="11">
        <f>SUMPRODUCT(Taches!$F$2:$F$21*(A158&gt;=Taches!$C$2:$C$21)*(A158&lt;=Taches!$D$2:$D$21)*((A158-Taches!$C$2:$C$21+1)/(Taches!$D$2:$C$21*0+Taches!$D$2:$D$21-Taches!$C$2:$C$21+1)))+SUMPRODUCT(Taches!$F$2:$F$21*(A158&gt;Taches!$D$2:$D$21))</f>
        <v>0</v>
      </c>
      <c r="C158" s="11">
        <f>BAC_Total*SUMIF(Jalons!$B$4:$B$9,"&lt;="&amp;A158,Jalons!$C$4:$C$9)</f>
        <v>0</v>
      </c>
      <c r="D158" s="11">
        <f>B158+C158</f>
        <v>0</v>
      </c>
      <c r="E158" s="14">
        <f>IF(BAC_Total=0,"",D158/BAC_Total)</f>
        <v>0</v>
      </c>
      <c r="F158" s="11">
        <f>IF(row(A158)=4,0,D158-D157)</f>
        <v>0</v>
      </c>
    </row>
    <row r="159" spans="1:6">
      <c r="A159" s="5">
        <f>StartDate+155</f>
        <v>0</v>
      </c>
      <c r="B159" s="11">
        <f>SUMPRODUCT(Taches!$F$2:$F$21*(A159&gt;=Taches!$C$2:$C$21)*(A159&lt;=Taches!$D$2:$D$21)*((A159-Taches!$C$2:$C$21+1)/(Taches!$D$2:$C$21*0+Taches!$D$2:$D$21-Taches!$C$2:$C$21+1)))+SUMPRODUCT(Taches!$F$2:$F$21*(A159&gt;Taches!$D$2:$D$21))</f>
        <v>0</v>
      </c>
      <c r="C159" s="11">
        <f>BAC_Total*SUMIF(Jalons!$B$4:$B$9,"&lt;="&amp;A159,Jalons!$C$4:$C$9)</f>
        <v>0</v>
      </c>
      <c r="D159" s="11">
        <f>B159+C159</f>
        <v>0</v>
      </c>
      <c r="E159" s="14">
        <f>IF(BAC_Total=0,"",D159/BAC_Total)</f>
        <v>0</v>
      </c>
      <c r="F159" s="11">
        <f>IF(row(A159)=4,0,D159-D158)</f>
        <v>0</v>
      </c>
    </row>
    <row r="160" spans="1:6">
      <c r="A160" s="5">
        <f>StartDate+156</f>
        <v>0</v>
      </c>
      <c r="B160" s="11">
        <f>SUMPRODUCT(Taches!$F$2:$F$21*(A160&gt;=Taches!$C$2:$C$21)*(A160&lt;=Taches!$D$2:$D$21)*((A160-Taches!$C$2:$C$21+1)/(Taches!$D$2:$C$21*0+Taches!$D$2:$D$21-Taches!$C$2:$C$21+1)))+SUMPRODUCT(Taches!$F$2:$F$21*(A160&gt;Taches!$D$2:$D$21))</f>
        <v>0</v>
      </c>
      <c r="C160" s="11">
        <f>BAC_Total*SUMIF(Jalons!$B$4:$B$9,"&lt;="&amp;A160,Jalons!$C$4:$C$9)</f>
        <v>0</v>
      </c>
      <c r="D160" s="11">
        <f>B160+C160</f>
        <v>0</v>
      </c>
      <c r="E160" s="14">
        <f>IF(BAC_Total=0,"",D160/BAC_Total)</f>
        <v>0</v>
      </c>
      <c r="F160" s="11">
        <f>IF(row(A160)=4,0,D160-D159)</f>
        <v>0</v>
      </c>
    </row>
    <row r="161" spans="1:6">
      <c r="A161" s="5">
        <f>StartDate+157</f>
        <v>0</v>
      </c>
      <c r="B161" s="11">
        <f>SUMPRODUCT(Taches!$F$2:$F$21*(A161&gt;=Taches!$C$2:$C$21)*(A161&lt;=Taches!$D$2:$D$21)*((A161-Taches!$C$2:$C$21+1)/(Taches!$D$2:$C$21*0+Taches!$D$2:$D$21-Taches!$C$2:$C$21+1)))+SUMPRODUCT(Taches!$F$2:$F$21*(A161&gt;Taches!$D$2:$D$21))</f>
        <v>0</v>
      </c>
      <c r="C161" s="11">
        <f>BAC_Total*SUMIF(Jalons!$B$4:$B$9,"&lt;="&amp;A161,Jalons!$C$4:$C$9)</f>
        <v>0</v>
      </c>
      <c r="D161" s="11">
        <f>B161+C161</f>
        <v>0</v>
      </c>
      <c r="E161" s="14">
        <f>IF(BAC_Total=0,"",D161/BAC_Total)</f>
        <v>0</v>
      </c>
      <c r="F161" s="11">
        <f>IF(row(A161)=4,0,D161-D160)</f>
        <v>0</v>
      </c>
    </row>
    <row r="162" spans="1:6">
      <c r="A162" s="5">
        <f>StartDate+158</f>
        <v>0</v>
      </c>
      <c r="B162" s="11">
        <f>SUMPRODUCT(Taches!$F$2:$F$21*(A162&gt;=Taches!$C$2:$C$21)*(A162&lt;=Taches!$D$2:$D$21)*((A162-Taches!$C$2:$C$21+1)/(Taches!$D$2:$C$21*0+Taches!$D$2:$D$21-Taches!$C$2:$C$21+1)))+SUMPRODUCT(Taches!$F$2:$F$21*(A162&gt;Taches!$D$2:$D$21))</f>
        <v>0</v>
      </c>
      <c r="C162" s="11">
        <f>BAC_Total*SUMIF(Jalons!$B$4:$B$9,"&lt;="&amp;A162,Jalons!$C$4:$C$9)</f>
        <v>0</v>
      </c>
      <c r="D162" s="11">
        <f>B162+C162</f>
        <v>0</v>
      </c>
      <c r="E162" s="14">
        <f>IF(BAC_Total=0,"",D162/BAC_Total)</f>
        <v>0</v>
      </c>
      <c r="F162" s="11">
        <f>IF(row(A162)=4,0,D162-D161)</f>
        <v>0</v>
      </c>
    </row>
    <row r="163" spans="1:6">
      <c r="A163" s="5">
        <f>StartDate+159</f>
        <v>0</v>
      </c>
      <c r="B163" s="11">
        <f>SUMPRODUCT(Taches!$F$2:$F$21*(A163&gt;=Taches!$C$2:$C$21)*(A163&lt;=Taches!$D$2:$D$21)*((A163-Taches!$C$2:$C$21+1)/(Taches!$D$2:$C$21*0+Taches!$D$2:$D$21-Taches!$C$2:$C$21+1)))+SUMPRODUCT(Taches!$F$2:$F$21*(A163&gt;Taches!$D$2:$D$21))</f>
        <v>0</v>
      </c>
      <c r="C163" s="11">
        <f>BAC_Total*SUMIF(Jalons!$B$4:$B$9,"&lt;="&amp;A163,Jalons!$C$4:$C$9)</f>
        <v>0</v>
      </c>
      <c r="D163" s="11">
        <f>B163+C163</f>
        <v>0</v>
      </c>
      <c r="E163" s="14">
        <f>IF(BAC_Total=0,"",D163/BAC_Total)</f>
        <v>0</v>
      </c>
      <c r="F163" s="11">
        <f>IF(row(A163)=4,0,D163-D162)</f>
        <v>0</v>
      </c>
    </row>
    <row r="164" spans="1:6">
      <c r="A164" s="5">
        <f>StartDate+160</f>
        <v>0</v>
      </c>
      <c r="B164" s="11">
        <f>SUMPRODUCT(Taches!$F$2:$F$21*(A164&gt;=Taches!$C$2:$C$21)*(A164&lt;=Taches!$D$2:$D$21)*((A164-Taches!$C$2:$C$21+1)/(Taches!$D$2:$C$21*0+Taches!$D$2:$D$21-Taches!$C$2:$C$21+1)))+SUMPRODUCT(Taches!$F$2:$F$21*(A164&gt;Taches!$D$2:$D$21))</f>
        <v>0</v>
      </c>
      <c r="C164" s="11">
        <f>BAC_Total*SUMIF(Jalons!$B$4:$B$9,"&lt;="&amp;A164,Jalons!$C$4:$C$9)</f>
        <v>0</v>
      </c>
      <c r="D164" s="11">
        <f>B164+C164</f>
        <v>0</v>
      </c>
      <c r="E164" s="14">
        <f>IF(BAC_Total=0,"",D164/BAC_Total)</f>
        <v>0</v>
      </c>
      <c r="F164" s="11">
        <f>IF(row(A164)=4,0,D164-D163)</f>
        <v>0</v>
      </c>
    </row>
    <row r="165" spans="1:6">
      <c r="A165" s="5">
        <f>StartDate+161</f>
        <v>0</v>
      </c>
      <c r="B165" s="11">
        <f>SUMPRODUCT(Taches!$F$2:$F$21*(A165&gt;=Taches!$C$2:$C$21)*(A165&lt;=Taches!$D$2:$D$21)*((A165-Taches!$C$2:$C$21+1)/(Taches!$D$2:$C$21*0+Taches!$D$2:$D$21-Taches!$C$2:$C$21+1)))+SUMPRODUCT(Taches!$F$2:$F$21*(A165&gt;Taches!$D$2:$D$21))</f>
        <v>0</v>
      </c>
      <c r="C165" s="11">
        <f>BAC_Total*SUMIF(Jalons!$B$4:$B$9,"&lt;="&amp;A165,Jalons!$C$4:$C$9)</f>
        <v>0</v>
      </c>
      <c r="D165" s="11">
        <f>B165+C165</f>
        <v>0</v>
      </c>
      <c r="E165" s="14">
        <f>IF(BAC_Total=0,"",D165/BAC_Total)</f>
        <v>0</v>
      </c>
      <c r="F165" s="11">
        <f>IF(row(A165)=4,0,D165-D164)</f>
        <v>0</v>
      </c>
    </row>
    <row r="166" spans="1:6">
      <c r="A166" s="5">
        <f>StartDate+162</f>
        <v>0</v>
      </c>
      <c r="B166" s="11">
        <f>SUMPRODUCT(Taches!$F$2:$F$21*(A166&gt;=Taches!$C$2:$C$21)*(A166&lt;=Taches!$D$2:$D$21)*((A166-Taches!$C$2:$C$21+1)/(Taches!$D$2:$C$21*0+Taches!$D$2:$D$21-Taches!$C$2:$C$21+1)))+SUMPRODUCT(Taches!$F$2:$F$21*(A166&gt;Taches!$D$2:$D$21))</f>
        <v>0</v>
      </c>
      <c r="C166" s="11">
        <f>BAC_Total*SUMIF(Jalons!$B$4:$B$9,"&lt;="&amp;A166,Jalons!$C$4:$C$9)</f>
        <v>0</v>
      </c>
      <c r="D166" s="11">
        <f>B166+C166</f>
        <v>0</v>
      </c>
      <c r="E166" s="14">
        <f>IF(BAC_Total=0,"",D166/BAC_Total)</f>
        <v>0</v>
      </c>
      <c r="F166" s="11">
        <f>IF(row(A166)=4,0,D166-D165)</f>
        <v>0</v>
      </c>
    </row>
    <row r="167" spans="1:6">
      <c r="A167" s="5">
        <f>StartDate+163</f>
        <v>0</v>
      </c>
      <c r="B167" s="11">
        <f>SUMPRODUCT(Taches!$F$2:$F$21*(A167&gt;=Taches!$C$2:$C$21)*(A167&lt;=Taches!$D$2:$D$21)*((A167-Taches!$C$2:$C$21+1)/(Taches!$D$2:$C$21*0+Taches!$D$2:$D$21-Taches!$C$2:$C$21+1)))+SUMPRODUCT(Taches!$F$2:$F$21*(A167&gt;Taches!$D$2:$D$21))</f>
        <v>0</v>
      </c>
      <c r="C167" s="11">
        <f>BAC_Total*SUMIF(Jalons!$B$4:$B$9,"&lt;="&amp;A167,Jalons!$C$4:$C$9)</f>
        <v>0</v>
      </c>
      <c r="D167" s="11">
        <f>B167+C167</f>
        <v>0</v>
      </c>
      <c r="E167" s="14">
        <f>IF(BAC_Total=0,"",D167/BAC_Total)</f>
        <v>0</v>
      </c>
      <c r="F167" s="11">
        <f>IF(row(A167)=4,0,D167-D166)</f>
        <v>0</v>
      </c>
    </row>
    <row r="168" spans="1:6">
      <c r="A168" s="5">
        <f>StartDate+164</f>
        <v>0</v>
      </c>
      <c r="B168" s="11">
        <f>SUMPRODUCT(Taches!$F$2:$F$21*(A168&gt;=Taches!$C$2:$C$21)*(A168&lt;=Taches!$D$2:$D$21)*((A168-Taches!$C$2:$C$21+1)/(Taches!$D$2:$C$21*0+Taches!$D$2:$D$21-Taches!$C$2:$C$21+1)))+SUMPRODUCT(Taches!$F$2:$F$21*(A168&gt;Taches!$D$2:$D$21))</f>
        <v>0</v>
      </c>
      <c r="C168" s="11">
        <f>BAC_Total*SUMIF(Jalons!$B$4:$B$9,"&lt;="&amp;A168,Jalons!$C$4:$C$9)</f>
        <v>0</v>
      </c>
      <c r="D168" s="11">
        <f>B168+C168</f>
        <v>0</v>
      </c>
      <c r="E168" s="14">
        <f>IF(BAC_Total=0,"",D168/BAC_Total)</f>
        <v>0</v>
      </c>
      <c r="F168" s="11">
        <f>IF(row(A168)=4,0,D168-D167)</f>
        <v>0</v>
      </c>
    </row>
    <row r="169" spans="1:6">
      <c r="A169" s="5">
        <f>StartDate+165</f>
        <v>0</v>
      </c>
      <c r="B169" s="11">
        <f>SUMPRODUCT(Taches!$F$2:$F$21*(A169&gt;=Taches!$C$2:$C$21)*(A169&lt;=Taches!$D$2:$D$21)*((A169-Taches!$C$2:$C$21+1)/(Taches!$D$2:$C$21*0+Taches!$D$2:$D$21-Taches!$C$2:$C$21+1)))+SUMPRODUCT(Taches!$F$2:$F$21*(A169&gt;Taches!$D$2:$D$21))</f>
        <v>0</v>
      </c>
      <c r="C169" s="11">
        <f>BAC_Total*SUMIF(Jalons!$B$4:$B$9,"&lt;="&amp;A169,Jalons!$C$4:$C$9)</f>
        <v>0</v>
      </c>
      <c r="D169" s="11">
        <f>B169+C169</f>
        <v>0</v>
      </c>
      <c r="E169" s="14">
        <f>IF(BAC_Total=0,"",D169/BAC_Total)</f>
        <v>0</v>
      </c>
      <c r="F169" s="11">
        <f>IF(row(A169)=4,0,D169-D168)</f>
        <v>0</v>
      </c>
    </row>
    <row r="170" spans="1:6">
      <c r="A170" s="5">
        <f>StartDate+166</f>
        <v>0</v>
      </c>
      <c r="B170" s="11">
        <f>SUMPRODUCT(Taches!$F$2:$F$21*(A170&gt;=Taches!$C$2:$C$21)*(A170&lt;=Taches!$D$2:$D$21)*((A170-Taches!$C$2:$C$21+1)/(Taches!$D$2:$C$21*0+Taches!$D$2:$D$21-Taches!$C$2:$C$21+1)))+SUMPRODUCT(Taches!$F$2:$F$21*(A170&gt;Taches!$D$2:$D$21))</f>
        <v>0</v>
      </c>
      <c r="C170" s="11">
        <f>BAC_Total*SUMIF(Jalons!$B$4:$B$9,"&lt;="&amp;A170,Jalons!$C$4:$C$9)</f>
        <v>0</v>
      </c>
      <c r="D170" s="11">
        <f>B170+C170</f>
        <v>0</v>
      </c>
      <c r="E170" s="14">
        <f>IF(BAC_Total=0,"",D170/BAC_Total)</f>
        <v>0</v>
      </c>
      <c r="F170" s="11">
        <f>IF(row(A170)=4,0,D170-D169)</f>
        <v>0</v>
      </c>
    </row>
    <row r="171" spans="1:6">
      <c r="A171" s="5">
        <f>StartDate+167</f>
        <v>0</v>
      </c>
      <c r="B171" s="11">
        <f>SUMPRODUCT(Taches!$F$2:$F$21*(A171&gt;=Taches!$C$2:$C$21)*(A171&lt;=Taches!$D$2:$D$21)*((A171-Taches!$C$2:$C$21+1)/(Taches!$D$2:$C$21*0+Taches!$D$2:$D$21-Taches!$C$2:$C$21+1)))+SUMPRODUCT(Taches!$F$2:$F$21*(A171&gt;Taches!$D$2:$D$21))</f>
        <v>0</v>
      </c>
      <c r="C171" s="11">
        <f>BAC_Total*SUMIF(Jalons!$B$4:$B$9,"&lt;="&amp;A171,Jalons!$C$4:$C$9)</f>
        <v>0</v>
      </c>
      <c r="D171" s="11">
        <f>B171+C171</f>
        <v>0</v>
      </c>
      <c r="E171" s="14">
        <f>IF(BAC_Total=0,"",D171/BAC_Total)</f>
        <v>0</v>
      </c>
      <c r="F171" s="11">
        <f>IF(row(A171)=4,0,D171-D170)</f>
        <v>0</v>
      </c>
    </row>
    <row r="172" spans="1:6">
      <c r="A172" s="5">
        <f>StartDate+168</f>
        <v>0</v>
      </c>
      <c r="B172" s="11">
        <f>SUMPRODUCT(Taches!$F$2:$F$21*(A172&gt;=Taches!$C$2:$C$21)*(A172&lt;=Taches!$D$2:$D$21)*((A172-Taches!$C$2:$C$21+1)/(Taches!$D$2:$C$21*0+Taches!$D$2:$D$21-Taches!$C$2:$C$21+1)))+SUMPRODUCT(Taches!$F$2:$F$21*(A172&gt;Taches!$D$2:$D$21))</f>
        <v>0</v>
      </c>
      <c r="C172" s="11">
        <f>BAC_Total*SUMIF(Jalons!$B$4:$B$9,"&lt;="&amp;A172,Jalons!$C$4:$C$9)</f>
        <v>0</v>
      </c>
      <c r="D172" s="11">
        <f>B172+C172</f>
        <v>0</v>
      </c>
      <c r="E172" s="14">
        <f>IF(BAC_Total=0,"",D172/BAC_Total)</f>
        <v>0</v>
      </c>
      <c r="F172" s="11">
        <f>IF(row(A172)=4,0,D172-D171)</f>
        <v>0</v>
      </c>
    </row>
    <row r="173" spans="1:6">
      <c r="A173" s="5">
        <f>StartDate+169</f>
        <v>0</v>
      </c>
      <c r="B173" s="11">
        <f>SUMPRODUCT(Taches!$F$2:$F$21*(A173&gt;=Taches!$C$2:$C$21)*(A173&lt;=Taches!$D$2:$D$21)*((A173-Taches!$C$2:$C$21+1)/(Taches!$D$2:$C$21*0+Taches!$D$2:$D$21-Taches!$C$2:$C$21+1)))+SUMPRODUCT(Taches!$F$2:$F$21*(A173&gt;Taches!$D$2:$D$21))</f>
        <v>0</v>
      </c>
      <c r="C173" s="11">
        <f>BAC_Total*SUMIF(Jalons!$B$4:$B$9,"&lt;="&amp;A173,Jalons!$C$4:$C$9)</f>
        <v>0</v>
      </c>
      <c r="D173" s="11">
        <f>B173+C173</f>
        <v>0</v>
      </c>
      <c r="E173" s="14">
        <f>IF(BAC_Total=0,"",D173/BAC_Total)</f>
        <v>0</v>
      </c>
      <c r="F173" s="11">
        <f>IF(row(A173)=4,0,D173-D172)</f>
        <v>0</v>
      </c>
    </row>
    <row r="174" spans="1:6">
      <c r="A174" s="5">
        <f>StartDate+170</f>
        <v>0</v>
      </c>
      <c r="B174" s="11">
        <f>SUMPRODUCT(Taches!$F$2:$F$21*(A174&gt;=Taches!$C$2:$C$21)*(A174&lt;=Taches!$D$2:$D$21)*((A174-Taches!$C$2:$C$21+1)/(Taches!$D$2:$C$21*0+Taches!$D$2:$D$21-Taches!$C$2:$C$21+1)))+SUMPRODUCT(Taches!$F$2:$F$21*(A174&gt;Taches!$D$2:$D$21))</f>
        <v>0</v>
      </c>
      <c r="C174" s="11">
        <f>BAC_Total*SUMIF(Jalons!$B$4:$B$9,"&lt;="&amp;A174,Jalons!$C$4:$C$9)</f>
        <v>0</v>
      </c>
      <c r="D174" s="11">
        <f>B174+C174</f>
        <v>0</v>
      </c>
      <c r="E174" s="14">
        <f>IF(BAC_Total=0,"",D174/BAC_Total)</f>
        <v>0</v>
      </c>
      <c r="F174" s="11">
        <f>IF(row(A174)=4,0,D174-D173)</f>
        <v>0</v>
      </c>
    </row>
    <row r="175" spans="1:6">
      <c r="A175" s="5">
        <f>StartDate+171</f>
        <v>0</v>
      </c>
      <c r="B175" s="11">
        <f>SUMPRODUCT(Taches!$F$2:$F$21*(A175&gt;=Taches!$C$2:$C$21)*(A175&lt;=Taches!$D$2:$D$21)*((A175-Taches!$C$2:$C$21+1)/(Taches!$D$2:$C$21*0+Taches!$D$2:$D$21-Taches!$C$2:$C$21+1)))+SUMPRODUCT(Taches!$F$2:$F$21*(A175&gt;Taches!$D$2:$D$21))</f>
        <v>0</v>
      </c>
      <c r="C175" s="11">
        <f>BAC_Total*SUMIF(Jalons!$B$4:$B$9,"&lt;="&amp;A175,Jalons!$C$4:$C$9)</f>
        <v>0</v>
      </c>
      <c r="D175" s="11">
        <f>B175+C175</f>
        <v>0</v>
      </c>
      <c r="E175" s="14">
        <f>IF(BAC_Total=0,"",D175/BAC_Total)</f>
        <v>0</v>
      </c>
      <c r="F175" s="11">
        <f>IF(row(A175)=4,0,D175-D174)</f>
        <v>0</v>
      </c>
    </row>
    <row r="176" spans="1:6">
      <c r="A176" s="5">
        <f>StartDate+172</f>
        <v>0</v>
      </c>
      <c r="B176" s="11">
        <f>SUMPRODUCT(Taches!$F$2:$F$21*(A176&gt;=Taches!$C$2:$C$21)*(A176&lt;=Taches!$D$2:$D$21)*((A176-Taches!$C$2:$C$21+1)/(Taches!$D$2:$C$21*0+Taches!$D$2:$D$21-Taches!$C$2:$C$21+1)))+SUMPRODUCT(Taches!$F$2:$F$21*(A176&gt;Taches!$D$2:$D$21))</f>
        <v>0</v>
      </c>
      <c r="C176" s="11">
        <f>BAC_Total*SUMIF(Jalons!$B$4:$B$9,"&lt;="&amp;A176,Jalons!$C$4:$C$9)</f>
        <v>0</v>
      </c>
      <c r="D176" s="11">
        <f>B176+C176</f>
        <v>0</v>
      </c>
      <c r="E176" s="14">
        <f>IF(BAC_Total=0,"",D176/BAC_Total)</f>
        <v>0</v>
      </c>
      <c r="F176" s="11">
        <f>IF(row(A176)=4,0,D176-D175)</f>
        <v>0</v>
      </c>
    </row>
    <row r="177" spans="1:6">
      <c r="A177" s="5">
        <f>StartDate+173</f>
        <v>0</v>
      </c>
      <c r="B177" s="11">
        <f>SUMPRODUCT(Taches!$F$2:$F$21*(A177&gt;=Taches!$C$2:$C$21)*(A177&lt;=Taches!$D$2:$D$21)*((A177-Taches!$C$2:$C$21+1)/(Taches!$D$2:$C$21*0+Taches!$D$2:$D$21-Taches!$C$2:$C$21+1)))+SUMPRODUCT(Taches!$F$2:$F$21*(A177&gt;Taches!$D$2:$D$21))</f>
        <v>0</v>
      </c>
      <c r="C177" s="11">
        <f>BAC_Total*SUMIF(Jalons!$B$4:$B$9,"&lt;="&amp;A177,Jalons!$C$4:$C$9)</f>
        <v>0</v>
      </c>
      <c r="D177" s="11">
        <f>B177+C177</f>
        <v>0</v>
      </c>
      <c r="E177" s="14">
        <f>IF(BAC_Total=0,"",D177/BAC_Total)</f>
        <v>0</v>
      </c>
      <c r="F177" s="11">
        <f>IF(row(A177)=4,0,D177-D176)</f>
        <v>0</v>
      </c>
    </row>
    <row r="178" spans="1:6">
      <c r="A178" s="5">
        <f>StartDate+174</f>
        <v>0</v>
      </c>
      <c r="B178" s="11">
        <f>SUMPRODUCT(Taches!$F$2:$F$21*(A178&gt;=Taches!$C$2:$C$21)*(A178&lt;=Taches!$D$2:$D$21)*((A178-Taches!$C$2:$C$21+1)/(Taches!$D$2:$C$21*0+Taches!$D$2:$D$21-Taches!$C$2:$C$21+1)))+SUMPRODUCT(Taches!$F$2:$F$21*(A178&gt;Taches!$D$2:$D$21))</f>
        <v>0</v>
      </c>
      <c r="C178" s="11">
        <f>BAC_Total*SUMIF(Jalons!$B$4:$B$9,"&lt;="&amp;A178,Jalons!$C$4:$C$9)</f>
        <v>0</v>
      </c>
      <c r="D178" s="11">
        <f>B178+C178</f>
        <v>0</v>
      </c>
      <c r="E178" s="14">
        <f>IF(BAC_Total=0,"",D178/BAC_Total)</f>
        <v>0</v>
      </c>
      <c r="F178" s="11">
        <f>IF(row(A178)=4,0,D178-D177)</f>
        <v>0</v>
      </c>
    </row>
    <row r="179" spans="1:6">
      <c r="A179" s="5">
        <f>StartDate+175</f>
        <v>0</v>
      </c>
      <c r="B179" s="11">
        <f>SUMPRODUCT(Taches!$F$2:$F$21*(A179&gt;=Taches!$C$2:$C$21)*(A179&lt;=Taches!$D$2:$D$21)*((A179-Taches!$C$2:$C$21+1)/(Taches!$D$2:$C$21*0+Taches!$D$2:$D$21-Taches!$C$2:$C$21+1)))+SUMPRODUCT(Taches!$F$2:$F$21*(A179&gt;Taches!$D$2:$D$21))</f>
        <v>0</v>
      </c>
      <c r="C179" s="11">
        <f>BAC_Total*SUMIF(Jalons!$B$4:$B$9,"&lt;="&amp;A179,Jalons!$C$4:$C$9)</f>
        <v>0</v>
      </c>
      <c r="D179" s="11">
        <f>B179+C179</f>
        <v>0</v>
      </c>
      <c r="E179" s="14">
        <f>IF(BAC_Total=0,"",D179/BAC_Total)</f>
        <v>0</v>
      </c>
      <c r="F179" s="11">
        <f>IF(row(A179)=4,0,D179-D178)</f>
        <v>0</v>
      </c>
    </row>
    <row r="180" spans="1:6">
      <c r="A180" s="5">
        <f>StartDate+176</f>
        <v>0</v>
      </c>
      <c r="B180" s="11">
        <f>SUMPRODUCT(Taches!$F$2:$F$21*(A180&gt;=Taches!$C$2:$C$21)*(A180&lt;=Taches!$D$2:$D$21)*((A180-Taches!$C$2:$C$21+1)/(Taches!$D$2:$C$21*0+Taches!$D$2:$D$21-Taches!$C$2:$C$21+1)))+SUMPRODUCT(Taches!$F$2:$F$21*(A180&gt;Taches!$D$2:$D$21))</f>
        <v>0</v>
      </c>
      <c r="C180" s="11">
        <f>BAC_Total*SUMIF(Jalons!$B$4:$B$9,"&lt;="&amp;A180,Jalons!$C$4:$C$9)</f>
        <v>0</v>
      </c>
      <c r="D180" s="11">
        <f>B180+C180</f>
        <v>0</v>
      </c>
      <c r="E180" s="14">
        <f>IF(BAC_Total=0,"",D180/BAC_Total)</f>
        <v>0</v>
      </c>
      <c r="F180" s="11">
        <f>IF(row(A180)=4,0,D180-D179)</f>
        <v>0</v>
      </c>
    </row>
    <row r="181" spans="1:6">
      <c r="A181" s="5">
        <f>StartDate+177</f>
        <v>0</v>
      </c>
      <c r="B181" s="11">
        <f>SUMPRODUCT(Taches!$F$2:$F$21*(A181&gt;=Taches!$C$2:$C$21)*(A181&lt;=Taches!$D$2:$D$21)*((A181-Taches!$C$2:$C$21+1)/(Taches!$D$2:$C$21*0+Taches!$D$2:$D$21-Taches!$C$2:$C$21+1)))+SUMPRODUCT(Taches!$F$2:$F$21*(A181&gt;Taches!$D$2:$D$21))</f>
        <v>0</v>
      </c>
      <c r="C181" s="11">
        <f>BAC_Total*SUMIF(Jalons!$B$4:$B$9,"&lt;="&amp;A181,Jalons!$C$4:$C$9)</f>
        <v>0</v>
      </c>
      <c r="D181" s="11">
        <f>B181+C181</f>
        <v>0</v>
      </c>
      <c r="E181" s="14">
        <f>IF(BAC_Total=0,"",D181/BAC_Total)</f>
        <v>0</v>
      </c>
      <c r="F181" s="11">
        <f>IF(row(A181)=4,0,D181-D180)</f>
        <v>0</v>
      </c>
    </row>
    <row r="182" spans="1:6">
      <c r="A182" s="5">
        <f>StartDate+178</f>
        <v>0</v>
      </c>
      <c r="B182" s="11">
        <f>SUMPRODUCT(Taches!$F$2:$F$21*(A182&gt;=Taches!$C$2:$C$21)*(A182&lt;=Taches!$D$2:$D$21)*((A182-Taches!$C$2:$C$21+1)/(Taches!$D$2:$C$21*0+Taches!$D$2:$D$21-Taches!$C$2:$C$21+1)))+SUMPRODUCT(Taches!$F$2:$F$21*(A182&gt;Taches!$D$2:$D$21))</f>
        <v>0</v>
      </c>
      <c r="C182" s="11">
        <f>BAC_Total*SUMIF(Jalons!$B$4:$B$9,"&lt;="&amp;A182,Jalons!$C$4:$C$9)</f>
        <v>0</v>
      </c>
      <c r="D182" s="11">
        <f>B182+C182</f>
        <v>0</v>
      </c>
      <c r="E182" s="14">
        <f>IF(BAC_Total=0,"",D182/BAC_Total)</f>
        <v>0</v>
      </c>
      <c r="F182" s="11">
        <f>IF(row(A182)=4,0,D182-D181)</f>
        <v>0</v>
      </c>
    </row>
    <row r="183" spans="1:6">
      <c r="A183" s="5">
        <f>StartDate+179</f>
        <v>0</v>
      </c>
      <c r="B183" s="11">
        <f>SUMPRODUCT(Taches!$F$2:$F$21*(A183&gt;=Taches!$C$2:$C$21)*(A183&lt;=Taches!$D$2:$D$21)*((A183-Taches!$C$2:$C$21+1)/(Taches!$D$2:$C$21*0+Taches!$D$2:$D$21-Taches!$C$2:$C$21+1)))+SUMPRODUCT(Taches!$F$2:$F$21*(A183&gt;Taches!$D$2:$D$21))</f>
        <v>0</v>
      </c>
      <c r="C183" s="11">
        <f>BAC_Total*SUMIF(Jalons!$B$4:$B$9,"&lt;="&amp;A183,Jalons!$C$4:$C$9)</f>
        <v>0</v>
      </c>
      <c r="D183" s="11">
        <f>B183+C183</f>
        <v>0</v>
      </c>
      <c r="E183" s="14">
        <f>IF(BAC_Total=0,"",D183/BAC_Total)</f>
        <v>0</v>
      </c>
      <c r="F183" s="11">
        <f>IF(row(A183)=4,0,D183-D182)</f>
        <v>0</v>
      </c>
    </row>
    <row r="184" spans="1:6">
      <c r="A184" s="5">
        <f>StartDate+180</f>
        <v>0</v>
      </c>
      <c r="B184" s="11">
        <f>SUMPRODUCT(Taches!$F$2:$F$21*(A184&gt;=Taches!$C$2:$C$21)*(A184&lt;=Taches!$D$2:$D$21)*((A184-Taches!$C$2:$C$21+1)/(Taches!$D$2:$C$21*0+Taches!$D$2:$D$21-Taches!$C$2:$C$21+1)))+SUMPRODUCT(Taches!$F$2:$F$21*(A184&gt;Taches!$D$2:$D$21))</f>
        <v>0</v>
      </c>
      <c r="C184" s="11">
        <f>BAC_Total*SUMIF(Jalons!$B$4:$B$9,"&lt;="&amp;A184,Jalons!$C$4:$C$9)</f>
        <v>0</v>
      </c>
      <c r="D184" s="11">
        <f>B184+C184</f>
        <v>0</v>
      </c>
      <c r="E184" s="14">
        <f>IF(BAC_Total=0,"",D184/BAC_Total)</f>
        <v>0</v>
      </c>
      <c r="F184" s="11">
        <f>IF(row(A184)=4,0,D184-D183)</f>
        <v>0</v>
      </c>
    </row>
    <row r="185" spans="1:6">
      <c r="A185" s="5">
        <f>StartDate+181</f>
        <v>0</v>
      </c>
      <c r="B185" s="11">
        <f>SUMPRODUCT(Taches!$F$2:$F$21*(A185&gt;=Taches!$C$2:$C$21)*(A185&lt;=Taches!$D$2:$D$21)*((A185-Taches!$C$2:$C$21+1)/(Taches!$D$2:$C$21*0+Taches!$D$2:$D$21-Taches!$C$2:$C$21+1)))+SUMPRODUCT(Taches!$F$2:$F$21*(A185&gt;Taches!$D$2:$D$21))</f>
        <v>0</v>
      </c>
      <c r="C185" s="11">
        <f>BAC_Total*SUMIF(Jalons!$B$4:$B$9,"&lt;="&amp;A185,Jalons!$C$4:$C$9)</f>
        <v>0</v>
      </c>
      <c r="D185" s="11">
        <f>B185+C185</f>
        <v>0</v>
      </c>
      <c r="E185" s="14">
        <f>IF(BAC_Total=0,"",D185/BAC_Total)</f>
        <v>0</v>
      </c>
      <c r="F185" s="11">
        <f>IF(row(A185)=4,0,D185-D184)</f>
        <v>0</v>
      </c>
    </row>
    <row r="186" spans="1:6">
      <c r="A186" s="5">
        <f>StartDate+182</f>
        <v>0</v>
      </c>
      <c r="B186" s="11">
        <f>SUMPRODUCT(Taches!$F$2:$F$21*(A186&gt;=Taches!$C$2:$C$21)*(A186&lt;=Taches!$D$2:$D$21)*((A186-Taches!$C$2:$C$21+1)/(Taches!$D$2:$C$21*0+Taches!$D$2:$D$21-Taches!$C$2:$C$21+1)))+SUMPRODUCT(Taches!$F$2:$F$21*(A186&gt;Taches!$D$2:$D$21))</f>
        <v>0</v>
      </c>
      <c r="C186" s="11">
        <f>BAC_Total*SUMIF(Jalons!$B$4:$B$9,"&lt;="&amp;A186,Jalons!$C$4:$C$9)</f>
        <v>0</v>
      </c>
      <c r="D186" s="11">
        <f>B186+C186</f>
        <v>0</v>
      </c>
      <c r="E186" s="14">
        <f>IF(BAC_Total=0,"",D186/BAC_Total)</f>
        <v>0</v>
      </c>
      <c r="F186" s="11">
        <f>IF(row(A186)=4,0,D186-D185)</f>
        <v>0</v>
      </c>
    </row>
    <row r="187" spans="1:6">
      <c r="A187" s="5">
        <f>StartDate+183</f>
        <v>0</v>
      </c>
      <c r="B187" s="11">
        <f>SUMPRODUCT(Taches!$F$2:$F$21*(A187&gt;=Taches!$C$2:$C$21)*(A187&lt;=Taches!$D$2:$D$21)*((A187-Taches!$C$2:$C$21+1)/(Taches!$D$2:$C$21*0+Taches!$D$2:$D$21-Taches!$C$2:$C$21+1)))+SUMPRODUCT(Taches!$F$2:$F$21*(A187&gt;Taches!$D$2:$D$21))</f>
        <v>0</v>
      </c>
      <c r="C187" s="11">
        <f>BAC_Total*SUMIF(Jalons!$B$4:$B$9,"&lt;="&amp;A187,Jalons!$C$4:$C$9)</f>
        <v>0</v>
      </c>
      <c r="D187" s="11">
        <f>B187+C187</f>
        <v>0</v>
      </c>
      <c r="E187" s="14">
        <f>IF(BAC_Total=0,"",D187/BAC_Total)</f>
        <v>0</v>
      </c>
      <c r="F187" s="11">
        <f>IF(row(A187)=4,0,D187-D186)</f>
        <v>0</v>
      </c>
    </row>
    <row r="188" spans="1:6">
      <c r="A188" s="5">
        <f>StartDate+184</f>
        <v>0</v>
      </c>
      <c r="B188" s="11">
        <f>SUMPRODUCT(Taches!$F$2:$F$21*(A188&gt;=Taches!$C$2:$C$21)*(A188&lt;=Taches!$D$2:$D$21)*((A188-Taches!$C$2:$C$21+1)/(Taches!$D$2:$C$21*0+Taches!$D$2:$D$21-Taches!$C$2:$C$21+1)))+SUMPRODUCT(Taches!$F$2:$F$21*(A188&gt;Taches!$D$2:$D$21))</f>
        <v>0</v>
      </c>
      <c r="C188" s="11">
        <f>BAC_Total*SUMIF(Jalons!$B$4:$B$9,"&lt;="&amp;A188,Jalons!$C$4:$C$9)</f>
        <v>0</v>
      </c>
      <c r="D188" s="11">
        <f>B188+C188</f>
        <v>0</v>
      </c>
      <c r="E188" s="14">
        <f>IF(BAC_Total=0,"",D188/BAC_Total)</f>
        <v>0</v>
      </c>
      <c r="F188" s="11">
        <f>IF(row(A188)=4,0,D188-D187)</f>
        <v>0</v>
      </c>
    </row>
    <row r="189" spans="1:6">
      <c r="A189" s="5">
        <f>StartDate+185</f>
        <v>0</v>
      </c>
      <c r="B189" s="11">
        <f>SUMPRODUCT(Taches!$F$2:$F$21*(A189&gt;=Taches!$C$2:$C$21)*(A189&lt;=Taches!$D$2:$D$21)*((A189-Taches!$C$2:$C$21+1)/(Taches!$D$2:$C$21*0+Taches!$D$2:$D$21-Taches!$C$2:$C$21+1)))+SUMPRODUCT(Taches!$F$2:$F$21*(A189&gt;Taches!$D$2:$D$21))</f>
        <v>0</v>
      </c>
      <c r="C189" s="11">
        <f>BAC_Total*SUMIF(Jalons!$B$4:$B$9,"&lt;="&amp;A189,Jalons!$C$4:$C$9)</f>
        <v>0</v>
      </c>
      <c r="D189" s="11">
        <f>B189+C189</f>
        <v>0</v>
      </c>
      <c r="E189" s="14">
        <f>IF(BAC_Total=0,"",D189/BAC_Total)</f>
        <v>0</v>
      </c>
      <c r="F189" s="11">
        <f>IF(row(A189)=4,0,D189-D188)</f>
        <v>0</v>
      </c>
    </row>
    <row r="190" spans="1:6">
      <c r="A190" s="5">
        <f>StartDate+186</f>
        <v>0</v>
      </c>
      <c r="B190" s="11">
        <f>SUMPRODUCT(Taches!$F$2:$F$21*(A190&gt;=Taches!$C$2:$C$21)*(A190&lt;=Taches!$D$2:$D$21)*((A190-Taches!$C$2:$C$21+1)/(Taches!$D$2:$C$21*0+Taches!$D$2:$D$21-Taches!$C$2:$C$21+1)))+SUMPRODUCT(Taches!$F$2:$F$21*(A190&gt;Taches!$D$2:$D$21))</f>
        <v>0</v>
      </c>
      <c r="C190" s="11">
        <f>BAC_Total*SUMIF(Jalons!$B$4:$B$9,"&lt;="&amp;A190,Jalons!$C$4:$C$9)</f>
        <v>0</v>
      </c>
      <c r="D190" s="11">
        <f>B190+C190</f>
        <v>0</v>
      </c>
      <c r="E190" s="14">
        <f>IF(BAC_Total=0,"",D190/BAC_Total)</f>
        <v>0</v>
      </c>
      <c r="F190" s="11">
        <f>IF(row(A190)=4,0,D190-D189)</f>
        <v>0</v>
      </c>
    </row>
    <row r="191" spans="1:6">
      <c r="A191" s="5">
        <f>StartDate+187</f>
        <v>0</v>
      </c>
      <c r="B191" s="11">
        <f>SUMPRODUCT(Taches!$F$2:$F$21*(A191&gt;=Taches!$C$2:$C$21)*(A191&lt;=Taches!$D$2:$D$21)*((A191-Taches!$C$2:$C$21+1)/(Taches!$D$2:$C$21*0+Taches!$D$2:$D$21-Taches!$C$2:$C$21+1)))+SUMPRODUCT(Taches!$F$2:$F$21*(A191&gt;Taches!$D$2:$D$21))</f>
        <v>0</v>
      </c>
      <c r="C191" s="11">
        <f>BAC_Total*SUMIF(Jalons!$B$4:$B$9,"&lt;="&amp;A191,Jalons!$C$4:$C$9)</f>
        <v>0</v>
      </c>
      <c r="D191" s="11">
        <f>B191+C191</f>
        <v>0</v>
      </c>
      <c r="E191" s="14">
        <f>IF(BAC_Total=0,"",D191/BAC_Total)</f>
        <v>0</v>
      </c>
      <c r="F191" s="11">
        <f>IF(row(A191)=4,0,D191-D190)</f>
        <v>0</v>
      </c>
    </row>
    <row r="192" spans="1:6">
      <c r="A192" s="5">
        <f>StartDate+188</f>
        <v>0</v>
      </c>
      <c r="B192" s="11">
        <f>SUMPRODUCT(Taches!$F$2:$F$21*(A192&gt;=Taches!$C$2:$C$21)*(A192&lt;=Taches!$D$2:$D$21)*((A192-Taches!$C$2:$C$21+1)/(Taches!$D$2:$C$21*0+Taches!$D$2:$D$21-Taches!$C$2:$C$21+1)))+SUMPRODUCT(Taches!$F$2:$F$21*(A192&gt;Taches!$D$2:$D$21))</f>
        <v>0</v>
      </c>
      <c r="C192" s="11">
        <f>BAC_Total*SUMIF(Jalons!$B$4:$B$9,"&lt;="&amp;A192,Jalons!$C$4:$C$9)</f>
        <v>0</v>
      </c>
      <c r="D192" s="11">
        <f>B192+C192</f>
        <v>0</v>
      </c>
      <c r="E192" s="14">
        <f>IF(BAC_Total=0,"",D192/BAC_Total)</f>
        <v>0</v>
      </c>
      <c r="F192" s="11">
        <f>IF(row(A192)=4,0,D192-D191)</f>
        <v>0</v>
      </c>
    </row>
    <row r="193" spans="1:6">
      <c r="A193" s="5">
        <f>StartDate+189</f>
        <v>0</v>
      </c>
      <c r="B193" s="11">
        <f>SUMPRODUCT(Taches!$F$2:$F$21*(A193&gt;=Taches!$C$2:$C$21)*(A193&lt;=Taches!$D$2:$D$21)*((A193-Taches!$C$2:$C$21+1)/(Taches!$D$2:$C$21*0+Taches!$D$2:$D$21-Taches!$C$2:$C$21+1)))+SUMPRODUCT(Taches!$F$2:$F$21*(A193&gt;Taches!$D$2:$D$21))</f>
        <v>0</v>
      </c>
      <c r="C193" s="11">
        <f>BAC_Total*SUMIF(Jalons!$B$4:$B$9,"&lt;="&amp;A193,Jalons!$C$4:$C$9)</f>
        <v>0</v>
      </c>
      <c r="D193" s="11">
        <f>B193+C193</f>
        <v>0</v>
      </c>
      <c r="E193" s="14">
        <f>IF(BAC_Total=0,"",D193/BAC_Total)</f>
        <v>0</v>
      </c>
      <c r="F193" s="11">
        <f>IF(row(A193)=4,0,D193-D192)</f>
        <v>0</v>
      </c>
    </row>
    <row r="194" spans="1:6">
      <c r="A194" s="5">
        <f>StartDate+190</f>
        <v>0</v>
      </c>
      <c r="B194" s="11">
        <f>SUMPRODUCT(Taches!$F$2:$F$21*(A194&gt;=Taches!$C$2:$C$21)*(A194&lt;=Taches!$D$2:$D$21)*((A194-Taches!$C$2:$C$21+1)/(Taches!$D$2:$C$21*0+Taches!$D$2:$D$21-Taches!$C$2:$C$21+1)))+SUMPRODUCT(Taches!$F$2:$F$21*(A194&gt;Taches!$D$2:$D$21))</f>
        <v>0</v>
      </c>
      <c r="C194" s="11">
        <f>BAC_Total*SUMIF(Jalons!$B$4:$B$9,"&lt;="&amp;A194,Jalons!$C$4:$C$9)</f>
        <v>0</v>
      </c>
      <c r="D194" s="11">
        <f>B194+C194</f>
        <v>0</v>
      </c>
      <c r="E194" s="14">
        <f>IF(BAC_Total=0,"",D194/BAC_Total)</f>
        <v>0</v>
      </c>
      <c r="F194" s="11">
        <f>IF(row(A194)=4,0,D194-D193)</f>
        <v>0</v>
      </c>
    </row>
    <row r="195" spans="1:6">
      <c r="A195" s="5">
        <f>StartDate+191</f>
        <v>0</v>
      </c>
      <c r="B195" s="11">
        <f>SUMPRODUCT(Taches!$F$2:$F$21*(A195&gt;=Taches!$C$2:$C$21)*(A195&lt;=Taches!$D$2:$D$21)*((A195-Taches!$C$2:$C$21+1)/(Taches!$D$2:$C$21*0+Taches!$D$2:$D$21-Taches!$C$2:$C$21+1)))+SUMPRODUCT(Taches!$F$2:$F$21*(A195&gt;Taches!$D$2:$D$21))</f>
        <v>0</v>
      </c>
      <c r="C195" s="11">
        <f>BAC_Total*SUMIF(Jalons!$B$4:$B$9,"&lt;="&amp;A195,Jalons!$C$4:$C$9)</f>
        <v>0</v>
      </c>
      <c r="D195" s="11">
        <f>B195+C195</f>
        <v>0</v>
      </c>
      <c r="E195" s="14">
        <f>IF(BAC_Total=0,"",D195/BAC_Total)</f>
        <v>0</v>
      </c>
      <c r="F195" s="11">
        <f>IF(row(A195)=4,0,D195-D194)</f>
        <v>0</v>
      </c>
    </row>
    <row r="196" spans="1:6">
      <c r="A196" s="5">
        <f>StartDate+192</f>
        <v>0</v>
      </c>
      <c r="B196" s="11">
        <f>SUMPRODUCT(Taches!$F$2:$F$21*(A196&gt;=Taches!$C$2:$C$21)*(A196&lt;=Taches!$D$2:$D$21)*((A196-Taches!$C$2:$C$21+1)/(Taches!$D$2:$C$21*0+Taches!$D$2:$D$21-Taches!$C$2:$C$21+1)))+SUMPRODUCT(Taches!$F$2:$F$21*(A196&gt;Taches!$D$2:$D$21))</f>
        <v>0</v>
      </c>
      <c r="C196" s="11">
        <f>BAC_Total*SUMIF(Jalons!$B$4:$B$9,"&lt;="&amp;A196,Jalons!$C$4:$C$9)</f>
        <v>0</v>
      </c>
      <c r="D196" s="11">
        <f>B196+C196</f>
        <v>0</v>
      </c>
      <c r="E196" s="14">
        <f>IF(BAC_Total=0,"",D196/BAC_Total)</f>
        <v>0</v>
      </c>
      <c r="F196" s="11">
        <f>IF(row(A196)=4,0,D196-D195)</f>
        <v>0</v>
      </c>
    </row>
    <row r="197" spans="1:6">
      <c r="A197" s="5">
        <f>StartDate+193</f>
        <v>0</v>
      </c>
      <c r="B197" s="11">
        <f>SUMPRODUCT(Taches!$F$2:$F$21*(A197&gt;=Taches!$C$2:$C$21)*(A197&lt;=Taches!$D$2:$D$21)*((A197-Taches!$C$2:$C$21+1)/(Taches!$D$2:$C$21*0+Taches!$D$2:$D$21-Taches!$C$2:$C$21+1)))+SUMPRODUCT(Taches!$F$2:$F$21*(A197&gt;Taches!$D$2:$D$21))</f>
        <v>0</v>
      </c>
      <c r="C197" s="11">
        <f>BAC_Total*SUMIF(Jalons!$B$4:$B$9,"&lt;="&amp;A197,Jalons!$C$4:$C$9)</f>
        <v>0</v>
      </c>
      <c r="D197" s="11">
        <f>B197+C197</f>
        <v>0</v>
      </c>
      <c r="E197" s="14">
        <f>IF(BAC_Total=0,"",D197/BAC_Total)</f>
        <v>0</v>
      </c>
      <c r="F197" s="11">
        <f>IF(row(A197)=4,0,D197-D196)</f>
        <v>0</v>
      </c>
    </row>
    <row r="198" spans="1:6">
      <c r="A198" s="5">
        <f>StartDate+194</f>
        <v>0</v>
      </c>
      <c r="B198" s="11">
        <f>SUMPRODUCT(Taches!$F$2:$F$21*(A198&gt;=Taches!$C$2:$C$21)*(A198&lt;=Taches!$D$2:$D$21)*((A198-Taches!$C$2:$C$21+1)/(Taches!$D$2:$C$21*0+Taches!$D$2:$D$21-Taches!$C$2:$C$21+1)))+SUMPRODUCT(Taches!$F$2:$F$21*(A198&gt;Taches!$D$2:$D$21))</f>
        <v>0</v>
      </c>
      <c r="C198" s="11">
        <f>BAC_Total*SUMIF(Jalons!$B$4:$B$9,"&lt;="&amp;A198,Jalons!$C$4:$C$9)</f>
        <v>0</v>
      </c>
      <c r="D198" s="11">
        <f>B198+C198</f>
        <v>0</v>
      </c>
      <c r="E198" s="14">
        <f>IF(BAC_Total=0,"",D198/BAC_Total)</f>
        <v>0</v>
      </c>
      <c r="F198" s="11">
        <f>IF(row(A198)=4,0,D198-D197)</f>
        <v>0</v>
      </c>
    </row>
    <row r="199" spans="1:6">
      <c r="A199" s="5">
        <f>StartDate+195</f>
        <v>0</v>
      </c>
      <c r="B199" s="11">
        <f>SUMPRODUCT(Taches!$F$2:$F$21*(A199&gt;=Taches!$C$2:$C$21)*(A199&lt;=Taches!$D$2:$D$21)*((A199-Taches!$C$2:$C$21+1)/(Taches!$D$2:$C$21*0+Taches!$D$2:$D$21-Taches!$C$2:$C$21+1)))+SUMPRODUCT(Taches!$F$2:$F$21*(A199&gt;Taches!$D$2:$D$21))</f>
        <v>0</v>
      </c>
      <c r="C199" s="11">
        <f>BAC_Total*SUMIF(Jalons!$B$4:$B$9,"&lt;="&amp;A199,Jalons!$C$4:$C$9)</f>
        <v>0</v>
      </c>
      <c r="D199" s="11">
        <f>B199+C199</f>
        <v>0</v>
      </c>
      <c r="E199" s="14">
        <f>IF(BAC_Total=0,"",D199/BAC_Total)</f>
        <v>0</v>
      </c>
      <c r="F199" s="11">
        <f>IF(row(A199)=4,0,D199-D198)</f>
        <v>0</v>
      </c>
    </row>
    <row r="200" spans="1:6">
      <c r="A200" s="5">
        <f>StartDate+196</f>
        <v>0</v>
      </c>
      <c r="B200" s="11">
        <f>SUMPRODUCT(Taches!$F$2:$F$21*(A200&gt;=Taches!$C$2:$C$21)*(A200&lt;=Taches!$D$2:$D$21)*((A200-Taches!$C$2:$C$21+1)/(Taches!$D$2:$C$21*0+Taches!$D$2:$D$21-Taches!$C$2:$C$21+1)))+SUMPRODUCT(Taches!$F$2:$F$21*(A200&gt;Taches!$D$2:$D$21))</f>
        <v>0</v>
      </c>
      <c r="C200" s="11">
        <f>BAC_Total*SUMIF(Jalons!$B$4:$B$9,"&lt;="&amp;A200,Jalons!$C$4:$C$9)</f>
        <v>0</v>
      </c>
      <c r="D200" s="11">
        <f>B200+C200</f>
        <v>0</v>
      </c>
      <c r="E200" s="14">
        <f>IF(BAC_Total=0,"",D200/BAC_Total)</f>
        <v>0</v>
      </c>
      <c r="F200" s="11">
        <f>IF(row(A200)=4,0,D200-D199)</f>
        <v>0</v>
      </c>
    </row>
    <row r="201" spans="1:6">
      <c r="A201" s="5">
        <f>StartDate+197</f>
        <v>0</v>
      </c>
      <c r="B201" s="11">
        <f>SUMPRODUCT(Taches!$F$2:$F$21*(A201&gt;=Taches!$C$2:$C$21)*(A201&lt;=Taches!$D$2:$D$21)*((A201-Taches!$C$2:$C$21+1)/(Taches!$D$2:$C$21*0+Taches!$D$2:$D$21-Taches!$C$2:$C$21+1)))+SUMPRODUCT(Taches!$F$2:$F$21*(A201&gt;Taches!$D$2:$D$21))</f>
        <v>0</v>
      </c>
      <c r="C201" s="11">
        <f>BAC_Total*SUMIF(Jalons!$B$4:$B$9,"&lt;="&amp;A201,Jalons!$C$4:$C$9)</f>
        <v>0</v>
      </c>
      <c r="D201" s="11">
        <f>B201+C201</f>
        <v>0</v>
      </c>
      <c r="E201" s="14">
        <f>IF(BAC_Total=0,"",D201/BAC_Total)</f>
        <v>0</v>
      </c>
      <c r="F201" s="11">
        <f>IF(row(A201)=4,0,D201-D200)</f>
        <v>0</v>
      </c>
    </row>
    <row r="202" spans="1:6">
      <c r="A202" s="5">
        <f>StartDate+198</f>
        <v>0</v>
      </c>
      <c r="B202" s="11">
        <f>SUMPRODUCT(Taches!$F$2:$F$21*(A202&gt;=Taches!$C$2:$C$21)*(A202&lt;=Taches!$D$2:$D$21)*((A202-Taches!$C$2:$C$21+1)/(Taches!$D$2:$C$21*0+Taches!$D$2:$D$21-Taches!$C$2:$C$21+1)))+SUMPRODUCT(Taches!$F$2:$F$21*(A202&gt;Taches!$D$2:$D$21))</f>
        <v>0</v>
      </c>
      <c r="C202" s="11">
        <f>BAC_Total*SUMIF(Jalons!$B$4:$B$9,"&lt;="&amp;A202,Jalons!$C$4:$C$9)</f>
        <v>0</v>
      </c>
      <c r="D202" s="11">
        <f>B202+C202</f>
        <v>0</v>
      </c>
      <c r="E202" s="14">
        <f>IF(BAC_Total=0,"",D202/BAC_Total)</f>
        <v>0</v>
      </c>
      <c r="F202" s="11">
        <f>IF(row(A202)=4,0,D202-D201)</f>
        <v>0</v>
      </c>
    </row>
    <row r="203" spans="1:6">
      <c r="A203" s="5">
        <f>StartDate+199</f>
        <v>0</v>
      </c>
      <c r="B203" s="11">
        <f>SUMPRODUCT(Taches!$F$2:$F$21*(A203&gt;=Taches!$C$2:$C$21)*(A203&lt;=Taches!$D$2:$D$21)*((A203-Taches!$C$2:$C$21+1)/(Taches!$D$2:$C$21*0+Taches!$D$2:$D$21-Taches!$C$2:$C$21+1)))+SUMPRODUCT(Taches!$F$2:$F$21*(A203&gt;Taches!$D$2:$D$21))</f>
        <v>0</v>
      </c>
      <c r="C203" s="11">
        <f>BAC_Total*SUMIF(Jalons!$B$4:$B$9,"&lt;="&amp;A203,Jalons!$C$4:$C$9)</f>
        <v>0</v>
      </c>
      <c r="D203" s="11">
        <f>B203+C203</f>
        <v>0</v>
      </c>
      <c r="E203" s="14">
        <f>IF(BAC_Total=0,"",D203/BAC_Total)</f>
        <v>0</v>
      </c>
      <c r="F203" s="11">
        <f>IF(row(A203)=4,0,D203-D202)</f>
        <v>0</v>
      </c>
    </row>
    <row r="204" spans="1:6">
      <c r="A204" s="5">
        <f>StartDate+200</f>
        <v>0</v>
      </c>
      <c r="B204" s="11">
        <f>SUMPRODUCT(Taches!$F$2:$F$21*(A204&gt;=Taches!$C$2:$C$21)*(A204&lt;=Taches!$D$2:$D$21)*((A204-Taches!$C$2:$C$21+1)/(Taches!$D$2:$C$21*0+Taches!$D$2:$D$21-Taches!$C$2:$C$21+1)))+SUMPRODUCT(Taches!$F$2:$F$21*(A204&gt;Taches!$D$2:$D$21))</f>
        <v>0</v>
      </c>
      <c r="C204" s="11">
        <f>BAC_Total*SUMIF(Jalons!$B$4:$B$9,"&lt;="&amp;A204,Jalons!$C$4:$C$9)</f>
        <v>0</v>
      </c>
      <c r="D204" s="11">
        <f>B204+C204</f>
        <v>0</v>
      </c>
      <c r="E204" s="14">
        <f>IF(BAC_Total=0,"",D204/BAC_Total)</f>
        <v>0</v>
      </c>
      <c r="F204" s="11">
        <f>IF(row(A204)=4,0,D204-D203)</f>
        <v>0</v>
      </c>
    </row>
    <row r="205" spans="1:6">
      <c r="A205" s="5">
        <f>StartDate+201</f>
        <v>0</v>
      </c>
      <c r="B205" s="11">
        <f>SUMPRODUCT(Taches!$F$2:$F$21*(A205&gt;=Taches!$C$2:$C$21)*(A205&lt;=Taches!$D$2:$D$21)*((A205-Taches!$C$2:$C$21+1)/(Taches!$D$2:$C$21*0+Taches!$D$2:$D$21-Taches!$C$2:$C$21+1)))+SUMPRODUCT(Taches!$F$2:$F$21*(A205&gt;Taches!$D$2:$D$21))</f>
        <v>0</v>
      </c>
      <c r="C205" s="11">
        <f>BAC_Total*SUMIF(Jalons!$B$4:$B$9,"&lt;="&amp;A205,Jalons!$C$4:$C$9)</f>
        <v>0</v>
      </c>
      <c r="D205" s="11">
        <f>B205+C205</f>
        <v>0</v>
      </c>
      <c r="E205" s="14">
        <f>IF(BAC_Total=0,"",D205/BAC_Total)</f>
        <v>0</v>
      </c>
      <c r="F205" s="11">
        <f>IF(row(A205)=4,0,D205-D204)</f>
        <v>0</v>
      </c>
    </row>
    <row r="206" spans="1:6">
      <c r="A206" s="5">
        <f>StartDate+202</f>
        <v>0</v>
      </c>
      <c r="B206" s="11">
        <f>SUMPRODUCT(Taches!$F$2:$F$21*(A206&gt;=Taches!$C$2:$C$21)*(A206&lt;=Taches!$D$2:$D$21)*((A206-Taches!$C$2:$C$21+1)/(Taches!$D$2:$C$21*0+Taches!$D$2:$D$21-Taches!$C$2:$C$21+1)))+SUMPRODUCT(Taches!$F$2:$F$21*(A206&gt;Taches!$D$2:$D$21))</f>
        <v>0</v>
      </c>
      <c r="C206" s="11">
        <f>BAC_Total*SUMIF(Jalons!$B$4:$B$9,"&lt;="&amp;A206,Jalons!$C$4:$C$9)</f>
        <v>0</v>
      </c>
      <c r="D206" s="11">
        <f>B206+C206</f>
        <v>0</v>
      </c>
      <c r="E206" s="14">
        <f>IF(BAC_Total=0,"",D206/BAC_Total)</f>
        <v>0</v>
      </c>
      <c r="F206" s="11">
        <f>IF(row(A206)=4,0,D206-D205)</f>
        <v>0</v>
      </c>
    </row>
    <row r="207" spans="1:6">
      <c r="A207" s="5">
        <f>StartDate+203</f>
        <v>0</v>
      </c>
      <c r="B207" s="11">
        <f>SUMPRODUCT(Taches!$F$2:$F$21*(A207&gt;=Taches!$C$2:$C$21)*(A207&lt;=Taches!$D$2:$D$21)*((A207-Taches!$C$2:$C$21+1)/(Taches!$D$2:$C$21*0+Taches!$D$2:$D$21-Taches!$C$2:$C$21+1)))+SUMPRODUCT(Taches!$F$2:$F$21*(A207&gt;Taches!$D$2:$D$21))</f>
        <v>0</v>
      </c>
      <c r="C207" s="11">
        <f>BAC_Total*SUMIF(Jalons!$B$4:$B$9,"&lt;="&amp;A207,Jalons!$C$4:$C$9)</f>
        <v>0</v>
      </c>
      <c r="D207" s="11">
        <f>B207+C207</f>
        <v>0</v>
      </c>
      <c r="E207" s="14">
        <f>IF(BAC_Total=0,"",D207/BAC_Total)</f>
        <v>0</v>
      </c>
      <c r="F207" s="11">
        <f>IF(row(A207)=4,0,D207-D206)</f>
        <v>0</v>
      </c>
    </row>
    <row r="208" spans="1:6">
      <c r="A208" s="5">
        <f>StartDate+204</f>
        <v>0</v>
      </c>
      <c r="B208" s="11">
        <f>SUMPRODUCT(Taches!$F$2:$F$21*(A208&gt;=Taches!$C$2:$C$21)*(A208&lt;=Taches!$D$2:$D$21)*((A208-Taches!$C$2:$C$21+1)/(Taches!$D$2:$C$21*0+Taches!$D$2:$D$21-Taches!$C$2:$C$21+1)))+SUMPRODUCT(Taches!$F$2:$F$21*(A208&gt;Taches!$D$2:$D$21))</f>
        <v>0</v>
      </c>
      <c r="C208" s="11">
        <f>BAC_Total*SUMIF(Jalons!$B$4:$B$9,"&lt;="&amp;A208,Jalons!$C$4:$C$9)</f>
        <v>0</v>
      </c>
      <c r="D208" s="11">
        <f>B208+C208</f>
        <v>0</v>
      </c>
      <c r="E208" s="14">
        <f>IF(BAC_Total=0,"",D208/BAC_Total)</f>
        <v>0</v>
      </c>
      <c r="F208" s="11">
        <f>IF(row(A208)=4,0,D208-D207)</f>
        <v>0</v>
      </c>
    </row>
    <row r="209" spans="1:6">
      <c r="A209" s="5">
        <f>StartDate+205</f>
        <v>0</v>
      </c>
      <c r="B209" s="11">
        <f>SUMPRODUCT(Taches!$F$2:$F$21*(A209&gt;=Taches!$C$2:$C$21)*(A209&lt;=Taches!$D$2:$D$21)*((A209-Taches!$C$2:$C$21+1)/(Taches!$D$2:$C$21*0+Taches!$D$2:$D$21-Taches!$C$2:$C$21+1)))+SUMPRODUCT(Taches!$F$2:$F$21*(A209&gt;Taches!$D$2:$D$21))</f>
        <v>0</v>
      </c>
      <c r="C209" s="11">
        <f>BAC_Total*SUMIF(Jalons!$B$4:$B$9,"&lt;="&amp;A209,Jalons!$C$4:$C$9)</f>
        <v>0</v>
      </c>
      <c r="D209" s="11">
        <f>B209+C209</f>
        <v>0</v>
      </c>
      <c r="E209" s="14">
        <f>IF(BAC_Total=0,"",D209/BAC_Total)</f>
        <v>0</v>
      </c>
      <c r="F209" s="11">
        <f>IF(row(A209)=4,0,D209-D208)</f>
        <v>0</v>
      </c>
    </row>
    <row r="210" spans="1:6">
      <c r="A210" s="5">
        <f>StartDate+206</f>
        <v>0</v>
      </c>
      <c r="B210" s="11">
        <f>SUMPRODUCT(Taches!$F$2:$F$21*(A210&gt;=Taches!$C$2:$C$21)*(A210&lt;=Taches!$D$2:$D$21)*((A210-Taches!$C$2:$C$21+1)/(Taches!$D$2:$C$21*0+Taches!$D$2:$D$21-Taches!$C$2:$C$21+1)))+SUMPRODUCT(Taches!$F$2:$F$21*(A210&gt;Taches!$D$2:$D$21))</f>
        <v>0</v>
      </c>
      <c r="C210" s="11">
        <f>BAC_Total*SUMIF(Jalons!$B$4:$B$9,"&lt;="&amp;A210,Jalons!$C$4:$C$9)</f>
        <v>0</v>
      </c>
      <c r="D210" s="11">
        <f>B210+C210</f>
        <v>0</v>
      </c>
      <c r="E210" s="14">
        <f>IF(BAC_Total=0,"",D210/BAC_Total)</f>
        <v>0</v>
      </c>
      <c r="F210" s="11">
        <f>IF(row(A210)=4,0,D210-D209)</f>
        <v>0</v>
      </c>
    </row>
    <row r="211" spans="1:6">
      <c r="A211" s="5">
        <f>StartDate+207</f>
        <v>0</v>
      </c>
      <c r="B211" s="11">
        <f>SUMPRODUCT(Taches!$F$2:$F$21*(A211&gt;=Taches!$C$2:$C$21)*(A211&lt;=Taches!$D$2:$D$21)*((A211-Taches!$C$2:$C$21+1)/(Taches!$D$2:$C$21*0+Taches!$D$2:$D$21-Taches!$C$2:$C$21+1)))+SUMPRODUCT(Taches!$F$2:$F$21*(A211&gt;Taches!$D$2:$D$21))</f>
        <v>0</v>
      </c>
      <c r="C211" s="11">
        <f>BAC_Total*SUMIF(Jalons!$B$4:$B$9,"&lt;="&amp;A211,Jalons!$C$4:$C$9)</f>
        <v>0</v>
      </c>
      <c r="D211" s="11">
        <f>B211+C211</f>
        <v>0</v>
      </c>
      <c r="E211" s="14">
        <f>IF(BAC_Total=0,"",D211/BAC_Total)</f>
        <v>0</v>
      </c>
      <c r="F211" s="11">
        <f>IF(row(A211)=4,0,D211-D210)</f>
        <v>0</v>
      </c>
    </row>
    <row r="212" spans="1:6">
      <c r="A212" s="5">
        <f>StartDate+208</f>
        <v>0</v>
      </c>
      <c r="B212" s="11">
        <f>SUMPRODUCT(Taches!$F$2:$F$21*(A212&gt;=Taches!$C$2:$C$21)*(A212&lt;=Taches!$D$2:$D$21)*((A212-Taches!$C$2:$C$21+1)/(Taches!$D$2:$C$21*0+Taches!$D$2:$D$21-Taches!$C$2:$C$21+1)))+SUMPRODUCT(Taches!$F$2:$F$21*(A212&gt;Taches!$D$2:$D$21))</f>
        <v>0</v>
      </c>
      <c r="C212" s="11">
        <f>BAC_Total*SUMIF(Jalons!$B$4:$B$9,"&lt;="&amp;A212,Jalons!$C$4:$C$9)</f>
        <v>0</v>
      </c>
      <c r="D212" s="11">
        <f>B212+C212</f>
        <v>0</v>
      </c>
      <c r="E212" s="14">
        <f>IF(BAC_Total=0,"",D212/BAC_Total)</f>
        <v>0</v>
      </c>
      <c r="F212" s="11">
        <f>IF(row(A212)=4,0,D212-D211)</f>
        <v>0</v>
      </c>
    </row>
    <row r="213" spans="1:6">
      <c r="A213" s="5">
        <f>StartDate+209</f>
        <v>0</v>
      </c>
      <c r="B213" s="11">
        <f>SUMPRODUCT(Taches!$F$2:$F$21*(A213&gt;=Taches!$C$2:$C$21)*(A213&lt;=Taches!$D$2:$D$21)*((A213-Taches!$C$2:$C$21+1)/(Taches!$D$2:$C$21*0+Taches!$D$2:$D$21-Taches!$C$2:$C$21+1)))+SUMPRODUCT(Taches!$F$2:$F$21*(A213&gt;Taches!$D$2:$D$21))</f>
        <v>0</v>
      </c>
      <c r="C213" s="11">
        <f>BAC_Total*SUMIF(Jalons!$B$4:$B$9,"&lt;="&amp;A213,Jalons!$C$4:$C$9)</f>
        <v>0</v>
      </c>
      <c r="D213" s="11">
        <f>B213+C213</f>
        <v>0</v>
      </c>
      <c r="E213" s="14">
        <f>IF(BAC_Total=0,"",D213/BAC_Total)</f>
        <v>0</v>
      </c>
      <c r="F213" s="11">
        <f>IF(row(A213)=4,0,D213-D212)</f>
        <v>0</v>
      </c>
    </row>
  </sheetData>
  <mergeCells count="1">
    <mergeCell ref="A1:F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7"/>
  <sheetViews>
    <sheetView zoomScale="120" zoomScaleNormal="120" workbookViewId="0"/>
  </sheetViews>
  <sheetFormatPr defaultRowHeight="15"/>
  <cols>
    <col min="1" max="1" width="34.7109375" customWidth="1"/>
    <col min="2" max="5" width="20.7109375" customWidth="1"/>
  </cols>
  <sheetData>
    <row r="1" spans="1:5">
      <c r="A1" s="1" t="s">
        <v>91</v>
      </c>
      <c r="B1" s="1"/>
      <c r="C1" s="1"/>
      <c r="D1" s="1"/>
      <c r="E1" s="1"/>
    </row>
    <row r="2" spans="1:5">
      <c r="A2" s="2" t="s">
        <v>92</v>
      </c>
      <c r="B2" s="2">
        <f>Projet</f>
        <v>0</v>
      </c>
      <c r="D2" s="2" t="s">
        <v>93</v>
      </c>
      <c r="E2" s="2">
        <f>Devise</f>
        <v>0</v>
      </c>
    </row>
    <row r="4" spans="1:5">
      <c r="A4" s="16" t="s">
        <v>94</v>
      </c>
      <c r="B4" s="17">
        <f>BAC_Total</f>
        <v>0</v>
      </c>
      <c r="D4" s="7" t="s">
        <v>103</v>
      </c>
    </row>
    <row r="5" spans="1:5">
      <c r="A5" s="16" t="s">
        <v>95</v>
      </c>
      <c r="B5" s="17">
        <f>BAC_Total_AvecPartages</f>
        <v>0</v>
      </c>
      <c r="D5" s="3" t="s">
        <v>104</v>
      </c>
      <c r="E5" s="14">
        <f>CPI_Ambre</f>
        <v>0</v>
      </c>
    </row>
    <row r="6" spans="1:5">
      <c r="A6" s="16" t="s">
        <v>96</v>
      </c>
      <c r="B6" s="17">
        <f>EV_Total</f>
        <v>0</v>
      </c>
      <c r="D6" s="3" t="s">
        <v>105</v>
      </c>
      <c r="E6" s="14">
        <f>CPI_Vert</f>
        <v>0</v>
      </c>
    </row>
    <row r="7" spans="1:5">
      <c r="A7" s="16" t="s">
        <v>97</v>
      </c>
      <c r="B7" s="17">
        <f>AC_Total</f>
        <v>0</v>
      </c>
      <c r="E7" s="14">
        <f>SPI_Ambre</f>
        <v>0</v>
      </c>
    </row>
    <row r="8" spans="1:5">
      <c r="A8" s="16" t="s">
        <v>98</v>
      </c>
      <c r="B8" s="17">
        <f>AC_Total_AvecPartages</f>
        <v>0</v>
      </c>
      <c r="E8" s="14">
        <f>SPI_Vert</f>
        <v>0</v>
      </c>
    </row>
    <row r="9" spans="1:5">
      <c r="A9" s="16" t="s">
        <v>99</v>
      </c>
      <c r="B9" s="17">
        <f>PV_Total</f>
        <v>0</v>
      </c>
    </row>
    <row r="10" spans="1:5">
      <c r="B10" s="17" cm="1">
        <f t="array" ref="B10">_xlfn.XLOOKUP(TODAY(),Calendrier!$A$4:$A$213,Calendrier!$D$4:$D$213,0,1)</f>
        <v>0</v>
      </c>
      <c r="D10" s="2" t="s">
        <v>106</v>
      </c>
      <c r="E10" s="4">
        <f>IF(B14&gt;=$E$6,"Vert",IF(B14&gt;=$E$5,"Ambre","Rouge"))</f>
        <v>0</v>
      </c>
    </row>
    <row r="11" spans="1:5">
      <c r="A11" s="16" t="s">
        <v>100</v>
      </c>
      <c r="D11" s="2" t="s">
        <v>107</v>
      </c>
      <c r="E11" s="4">
        <f>IF(B15&gt;=$E$8,"Vert",IF(B15&gt;=$E$7,"Ambre","Rouge"))</f>
        <v>0</v>
      </c>
    </row>
    <row r="12" spans="1:5">
      <c r="A12" s="16" t="s">
        <v>49</v>
      </c>
      <c r="B12" s="17">
        <f>B6-B7</f>
        <v>0</v>
      </c>
    </row>
    <row r="13" spans="1:5">
      <c r="A13" s="16" t="s">
        <v>50</v>
      </c>
      <c r="B13" s="17">
        <f>B6-B10</f>
        <v>0</v>
      </c>
    </row>
    <row r="14" spans="1:5">
      <c r="A14" s="16" t="s">
        <v>51</v>
      </c>
      <c r="B14" s="17">
        <f>IF(B7=0,"",B6/B7)</f>
        <v>0</v>
      </c>
    </row>
    <row r="15" spans="1:5">
      <c r="A15" s="16" t="s">
        <v>52</v>
      </c>
      <c r="B15" s="17">
        <f>IF(B10=0,"",B6/B10)</f>
        <v>0</v>
      </c>
    </row>
    <row r="16" spans="1:5">
      <c r="A16" s="16" t="s">
        <v>101</v>
      </c>
      <c r="B16" s="17">
        <f>IF(B14="","",IF(B14=0,"",B4/B14))</f>
        <v>0</v>
      </c>
    </row>
    <row r="17" spans="1:2">
      <c r="A17" s="16" t="s">
        <v>102</v>
      </c>
      <c r="B17" s="17">
        <f>IF(B16="","",B4-B16)</f>
        <v>0</v>
      </c>
    </row>
  </sheetData>
  <mergeCells count="1">
    <mergeCell ref="A1:E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13"/>
  <sheetViews>
    <sheetView zoomScale="120" zoomScaleNormal="120" workbookViewId="0"/>
  </sheetViews>
  <sheetFormatPr defaultRowHeight="15"/>
  <cols>
    <col min="1" max="1" width="36.7109375" customWidth="1"/>
    <col min="2" max="5" width="18.7109375" customWidth="1"/>
  </cols>
  <sheetData>
    <row r="1" spans="1:5">
      <c r="A1" s="1" t="s">
        <v>108</v>
      </c>
      <c r="B1" s="1"/>
      <c r="C1" s="1"/>
      <c r="D1" s="1"/>
      <c r="E1" s="1"/>
    </row>
    <row r="3" spans="1:5">
      <c r="A3" s="2" t="s">
        <v>109</v>
      </c>
      <c r="B3" s="18" cm="1">
        <f t="array" ref="B3">IF(BAC_Total=0,"",_xlfn.XLOOKUP(TODAY(),Calendrier!$A$4:$A$213,Calendrier!$E$4:$E$213,0,1))</f>
        <v>0</v>
      </c>
    </row>
    <row r="4" spans="1:5">
      <c r="A4" s="2" t="s">
        <v>110</v>
      </c>
      <c r="B4" s="18">
        <f>IF(BAC_Total=0,"",AC_Total/BAC_Total)</f>
        <v>0</v>
      </c>
    </row>
    <row r="5" spans="1:5">
      <c r="A5" s="2" t="s">
        <v>111</v>
      </c>
      <c r="B5" s="18">
        <f>IF(OR(B3="",B4=""),"",B4-B3)</f>
        <v>0</v>
      </c>
    </row>
    <row r="7" spans="1:5">
      <c r="A7" s="7" t="s">
        <v>112</v>
      </c>
    </row>
    <row r="8" spans="1:5">
      <c r="A8" s="3" t="s">
        <v>113</v>
      </c>
    </row>
    <row r="9" spans="1:5">
      <c r="A9" s="3" t="s">
        <v>114</v>
      </c>
    </row>
    <row r="11" spans="1:5">
      <c r="A11" s="10" t="s">
        <v>115</v>
      </c>
      <c r="B11" s="10" t="s">
        <v>116</v>
      </c>
      <c r="C11" s="10" t="s">
        <v>117</v>
      </c>
    </row>
    <row r="12" spans="1:5">
      <c r="A12" s="14">
        <f>B3</f>
        <v>0</v>
      </c>
      <c r="B12" s="14">
        <f>B4</f>
        <v>0</v>
      </c>
      <c r="C12" s="14">
        <v>0</v>
      </c>
    </row>
    <row r="13" spans="1:5">
      <c r="C13" s="14">
        <v>1</v>
      </c>
    </row>
  </sheetData>
  <mergeCells count="1">
    <mergeCell ref="A1:E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16</vt:i4>
      </vt:variant>
    </vt:vector>
  </HeadingPairs>
  <TitlesOfParts>
    <vt:vector size="23" baseType="lpstr">
      <vt:lpstr>Paramètres</vt:lpstr>
      <vt:lpstr>Couts_Partages</vt:lpstr>
      <vt:lpstr>Taches</vt:lpstr>
      <vt:lpstr>Jalons</vt:lpstr>
      <vt:lpstr>Calendrier</vt:lpstr>
      <vt:lpstr>Synthèse_Dashboard</vt:lpstr>
      <vt:lpstr>Dashboard_Couts_vs_Delais</vt:lpstr>
      <vt:lpstr>AC_Total</vt:lpstr>
      <vt:lpstr>BAC_Total</vt:lpstr>
      <vt:lpstr>BAC_Total_AvecPartages</vt:lpstr>
      <vt:lpstr>CPI_Ambre</vt:lpstr>
      <vt:lpstr>CPI_Vert</vt:lpstr>
      <vt:lpstr>Devise</vt:lpstr>
      <vt:lpstr>Duree_Totale</vt:lpstr>
      <vt:lpstr>EV_Total</vt:lpstr>
      <vt:lpstr>Overhead_AC_Total</vt:lpstr>
      <vt:lpstr>Phases</vt:lpstr>
      <vt:lpstr>Projet</vt:lpstr>
      <vt:lpstr>PV_Total</vt:lpstr>
      <vt:lpstr>SPI_Ambre</vt:lpstr>
      <vt:lpstr>SPI_Vert</vt:lpstr>
      <vt:lpstr>StartDate</vt:lpstr>
      <vt:lpstr>Weeks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2025-08-26T12:11:47Z</dcterms:created>
  <dcterms:modified xsi:type="dcterms:W3CDTF">2025-08-26T12:11:47Z</dcterms:modified>
</cp:coreProperties>
</file>