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ilotage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0 &quot;h&quot;"/>
    <numFmt numFmtId="165" formatCode="0.0%"/>
  </numFmts>
  <fonts count="1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color rgb="00475569"/>
      <sz val="10"/>
    </font>
    <font>
      <name val="Calibri"/>
      <b val="1"/>
      <color rgb="00475569"/>
      <sz val="9"/>
    </font>
    <font>
      <name val="Calibri"/>
      <b val="1"/>
      <color rgb="0017324D"/>
      <sz val="18"/>
    </font>
    <font>
      <name val="Calibri"/>
      <b val="1"/>
      <color rgb="00FFFFFF"/>
      <sz val="11"/>
    </font>
    <font>
      <name val="Calibri"/>
      <b val="1"/>
      <color rgb="001F2937"/>
      <sz val="10"/>
    </font>
    <font>
      <b val="1"/>
      <color rgb="0017324D"/>
    </font>
    <font>
      <name val="Calibri"/>
      <color rgb="001F2937"/>
      <sz val="10"/>
    </font>
    <font>
      <name val="Calibri"/>
      <b val="1"/>
      <color rgb="001F2937"/>
      <sz val="9"/>
    </font>
  </fonts>
  <fills count="15">
    <fill>
      <patternFill/>
    </fill>
    <fill>
      <patternFill patternType="gray125"/>
    </fill>
    <fill>
      <patternFill patternType="solid">
        <fgColor rgb="0017324D"/>
      </patternFill>
    </fill>
    <fill>
      <patternFill patternType="solid">
        <fgColor rgb="00F4F6F8"/>
      </patternFill>
    </fill>
    <fill>
      <patternFill patternType="solid">
        <fgColor rgb="00EAF2FF"/>
      </patternFill>
    </fill>
    <fill>
      <patternFill patternType="solid">
        <fgColor rgb="00DFF6F4"/>
      </patternFill>
    </fill>
    <fill>
      <patternFill patternType="solid">
        <fgColor rgb="00FFF3D6"/>
      </patternFill>
    </fill>
    <fill>
      <patternFill patternType="solid">
        <fgColor rgb="00D9ECFF"/>
      </patternFill>
    </fill>
    <fill>
      <patternFill patternType="solid">
        <fgColor rgb="00FCE3E3"/>
      </patternFill>
    </fill>
    <fill>
      <patternFill patternType="solid">
        <fgColor rgb="00DBEAFE"/>
      </patternFill>
    </fill>
    <fill>
      <patternFill patternType="solid">
        <fgColor rgb="00E0E7FF"/>
      </patternFill>
    </fill>
    <fill>
      <patternFill patternType="solid">
        <fgColor rgb="00D1FAE5"/>
      </patternFill>
    </fill>
    <fill>
      <patternFill patternType="solid">
        <fgColor rgb="00FEF3C7"/>
      </patternFill>
    </fill>
    <fill>
      <patternFill patternType="solid">
        <fgColor rgb="00FCE7F3"/>
      </patternFill>
    </fill>
    <fill>
      <patternFill patternType="solid">
        <fgColor rgb="00DDF5E7"/>
      </patternFill>
    </fill>
  </fills>
  <borders count="3">
    <border>
      <left/>
      <right/>
      <top/>
      <bottom/>
      <diagonal/>
    </border>
    <border>
      <left style="thin">
        <color rgb="00C7D2FE"/>
      </left>
      <right style="thin">
        <color rgb="00C7D2FE"/>
      </right>
      <top style="thin">
        <color rgb="00C7D2FE"/>
      </top>
      <bottom style="thin">
        <color rgb="00C7D2FE"/>
      </bottom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1">
    <xf numFmtId="0" fontId="0" fillId="0" borderId="0"/>
  </cellStyleXfs>
  <cellXfs count="4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 vertical="center"/>
    </xf>
    <xf numFmtId="0" fontId="0" fillId="5" borderId="1" pivotButton="0" quotePrefix="0" xfId="0"/>
    <xf numFmtId="0" fontId="3" fillId="6" borderId="1" applyAlignment="1" pivotButton="0" quotePrefix="0" xfId="0">
      <alignment horizontal="center" vertical="center"/>
    </xf>
    <xf numFmtId="0" fontId="0" fillId="6" borderId="1" pivotButton="0" quotePrefix="0" xfId="0"/>
    <xf numFmtId="0" fontId="3" fillId="7" borderId="1" applyAlignment="1" pivotButton="0" quotePrefix="0" xfId="0">
      <alignment horizontal="center" vertical="center"/>
    </xf>
    <xf numFmtId="0" fontId="0" fillId="7" borderId="1" pivotButton="0" quotePrefix="0" xfId="0"/>
    <xf numFmtId="0" fontId="3" fillId="8" borderId="1" applyAlignment="1" pivotButton="0" quotePrefix="0" xfId="0">
      <alignment horizontal="center" vertical="center"/>
    </xf>
    <xf numFmtId="0" fontId="0" fillId="8" borderId="1" pivotButton="0" quotePrefix="0" xfId="0"/>
    <xf numFmtId="0" fontId="6" fillId="0" borderId="0" pivotButton="0" quotePrefix="0" xfId="0"/>
    <xf numFmtId="164" fontId="4" fillId="4" borderId="1" applyAlignment="1" pivotButton="0" quotePrefix="0" xfId="0">
      <alignment horizontal="center" vertical="center"/>
    </xf>
    <xf numFmtId="164" fontId="4" fillId="5" borderId="1" applyAlignment="1" pivotButton="0" quotePrefix="0" xfId="0">
      <alignment horizontal="center" vertical="center"/>
    </xf>
    <xf numFmtId="164" fontId="4" fillId="6" borderId="1" applyAlignment="1" pivotButton="0" quotePrefix="0" xfId="0">
      <alignment horizontal="center" vertical="center"/>
    </xf>
    <xf numFmtId="165" fontId="4" fillId="7" borderId="1" applyAlignment="1" pivotButton="0" quotePrefix="0" xfId="0">
      <alignment horizontal="center" vertical="center"/>
    </xf>
    <xf numFmtId="1" fontId="4" fillId="8" borderId="1" applyAlignment="1" pivotButton="0" quotePrefix="0" xfId="0">
      <alignment horizontal="center" vertical="center"/>
    </xf>
    <xf numFmtId="0" fontId="8" fillId="14" borderId="2" pivotButton="0" quotePrefix="0" xfId="0"/>
    <xf numFmtId="0" fontId="8" fillId="6" borderId="2" pivotButton="0" quotePrefix="0" xfId="0"/>
    <xf numFmtId="0" fontId="8" fillId="8" borderId="2" pivotButton="0" quotePrefix="0" xfId="0"/>
    <xf numFmtId="0" fontId="5" fillId="2" borderId="0" applyAlignment="1" pivotButton="0" quotePrefix="0" xfId="0">
      <alignment horizontal="left" vertical="center"/>
    </xf>
    <xf numFmtId="0" fontId="6" fillId="4" borderId="2" applyAlignment="1" pivotButton="0" quotePrefix="0" xfId="0">
      <alignment horizontal="center" vertical="center"/>
    </xf>
    <xf numFmtId="0" fontId="0" fillId="0" borderId="2" applyAlignment="1" pivotButton="0" quotePrefix="0" xfId="0">
      <alignment horizontal="left" vertical="center"/>
    </xf>
    <xf numFmtId="0" fontId="0" fillId="0" borderId="2" applyAlignment="1" pivotButton="0" quotePrefix="0" xfId="0">
      <alignment horizontal="center" vertical="center"/>
    </xf>
    <xf numFmtId="164" fontId="0" fillId="0" borderId="2" applyAlignment="1" pivotButton="0" quotePrefix="0" xfId="0">
      <alignment horizontal="center" vertical="center"/>
    </xf>
    <xf numFmtId="165" fontId="0" fillId="0" borderId="2" applyAlignment="1" pivotButton="0" quotePrefix="0" xfId="0">
      <alignment horizontal="center" vertical="center"/>
    </xf>
    <xf numFmtId="164" fontId="7" fillId="9" borderId="2" applyAlignment="1" pivotButton="0" quotePrefix="0" xfId="0">
      <alignment horizontal="center" vertical="center"/>
    </xf>
    <xf numFmtId="164" fontId="7" fillId="10" borderId="2" applyAlignment="1" pivotButton="0" quotePrefix="0" xfId="0">
      <alignment horizontal="center" vertical="center"/>
    </xf>
    <xf numFmtId="164" fontId="7" fillId="11" borderId="2" applyAlignment="1" pivotButton="0" quotePrefix="0" xfId="0">
      <alignment horizontal="center" vertical="center"/>
    </xf>
    <xf numFmtId="164" fontId="7" fillId="12" borderId="2" applyAlignment="1" pivotButton="0" quotePrefix="0" xfId="0">
      <alignment horizontal="center" vertical="center"/>
    </xf>
    <xf numFmtId="164" fontId="7" fillId="13" borderId="2" applyAlignment="1" pivotButton="0" quotePrefix="0" xfId="0">
      <alignment horizontal="center" vertical="center"/>
    </xf>
    <xf numFmtId="0" fontId="9" fillId="4" borderId="2" applyAlignment="1" pivotButton="0" quotePrefix="0" xfId="0">
      <alignment horizontal="center" vertical="center"/>
    </xf>
    <xf numFmtId="0" fontId="0" fillId="8" borderId="2" applyAlignment="1" pivotButton="0" quotePrefix="0" xfId="0">
      <alignment horizontal="left" vertical="center"/>
    </xf>
    <xf numFmtId="0" fontId="0" fillId="14" borderId="2" applyAlignment="1" pivotButton="0" quotePrefix="0" xfId="0">
      <alignment horizontal="left" vertical="center"/>
    </xf>
    <xf numFmtId="0" fontId="0" fillId="6" borderId="2" applyAlignment="1" pivotButton="0" quotePrefix="0" xfId="0">
      <alignment horizontal="left" vertical="center"/>
    </xf>
    <xf numFmtId="0" fontId="6" fillId="4" borderId="2" pivotButton="0" quotePrefix="0" xfId="0"/>
    <xf numFmtId="0" fontId="0" fillId="0" borderId="2" pivotButton="0" quotePrefix="0" xfId="0"/>
    <xf numFmtId="0" fontId="0" fillId="7" borderId="2" applyAlignment="1" pivotButton="0" quotePrefix="0" xfId="0">
      <alignment horizontal="left" vertical="center"/>
    </xf>
  </cellXfs>
  <cellStyles count="1">
    <cellStyle name="Normal" xfId="0" builtinId="0" hidden="0"/>
  </cellStyles>
  <dxfs count="3">
    <dxf>
      <fill>
        <patternFill patternType="solid">
          <fgColor rgb="00FCE3E3"/>
        </patternFill>
      </fill>
    </dxf>
    <dxf>
      <fill>
        <patternFill patternType="solid">
          <fgColor rgb="00FFF3D6"/>
        </patternFill>
      </fill>
    </dxf>
    <dxf>
      <fill>
        <patternFill patternType="solid">
          <fgColor rgb="00DDF5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Charge vs capacité par jalon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'Pilotage Projet'!E8</f>
            </strRef>
          </tx>
          <spPr>
            <a:ln xmlns:a="http://schemas.openxmlformats.org/drawingml/2006/main">
              <a:prstDash val="solid"/>
            </a:ln>
          </spPr>
          <cat>
            <numRef>
              <f>'Pilotage Projet'!$A$9:$A$13</f>
            </numRef>
          </cat>
          <val>
            <numRef>
              <f>'Pilotage Projet'!$E$9:$E$13</f>
            </numRef>
          </val>
        </ser>
        <ser>
          <idx val="1"/>
          <order val="1"/>
          <tx>
            <strRef>
              <f>'Pilotage Projet'!F8</f>
            </strRef>
          </tx>
          <spPr>
            <a:ln xmlns:a="http://schemas.openxmlformats.org/drawingml/2006/main">
              <a:prstDash val="solid"/>
            </a:ln>
          </spPr>
          <cat>
            <numRef>
              <f>'Pilotage Projet'!$A$9:$A$13</f>
            </numRef>
          </cat>
          <val>
            <numRef>
              <f>'Pilotage Projet'!$F$9:$F$13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Jalons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alertes</a:t>
            </a:r>
          </a:p>
        </rich>
      </tx>
    </title>
    <plotArea>
      <doughnutChart>
        <varyColors val="1"/>
        <ser>
          <idx val="0"/>
          <order val="0"/>
          <tx>
            <strRef>
              <f>'Pilotage Projet'!R20</f>
            </strRef>
          </tx>
          <spPr>
            <a:ln xmlns:a="http://schemas.openxmlformats.org/drawingml/2006/main">
              <a:prstDash val="solid"/>
            </a:ln>
          </spPr>
          <cat>
            <numRef>
              <f>'Pilotage Projet'!$Q$21:$Q$23</f>
            </numRef>
          </cat>
          <val>
            <numRef>
              <f>'Pilotage Projet'!$R$21:$R$23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16</col>
      <colOff>0</colOff>
      <row>7</row>
      <rowOff>0</rowOff>
    </from>
    <ext cx="36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16</col>
      <colOff>0</colOff>
      <row>23</row>
      <rowOff>0</rowOff>
    </from>
    <ext cx="2880000" cy="23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7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8" customWidth="1" min="1" max="1"/>
    <col width="16" customWidth="1" min="2" max="2"/>
    <col width="14" customWidth="1" min="3" max="3"/>
    <col width="14" customWidth="1" min="4" max="4"/>
    <col width="15" customWidth="1" min="5" max="5"/>
    <col width="15" customWidth="1" min="6" max="6"/>
    <col width="14" customWidth="1" min="7" max="7"/>
    <col width="14" customWidth="1" min="8" max="8"/>
    <col width="16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3" customWidth="1" min="16" max="16"/>
    <col width="16" customWidth="1" min="17" max="17"/>
    <col width="16" customWidth="1" min="18" max="18"/>
  </cols>
  <sheetData>
    <row r="1" ht="24" customHeight="1">
      <c r="A1" s="1" t="inlineStr">
        <is>
          <t>Plan de charge projet – Dashboard visuel par jalon</t>
        </is>
      </c>
    </row>
    <row r="2" ht="24" customHeight="1">
      <c r="A2" s="2" t="inlineStr">
        <is>
          <t>Vue one-page avec jalons, KPI, répartition de charge, niveau de tension et timeline hebdomadaire.</t>
        </is>
      </c>
    </row>
    <row r="3" ht="22" customHeight="1">
      <c r="A3" s="3" t="inlineStr">
        <is>
          <t>Capacité totale</t>
        </is>
      </c>
      <c r="B3" s="4" t="n"/>
      <c r="C3" s="4" t="n"/>
      <c r="D3" s="5" t="inlineStr">
        <is>
          <t>Charge prévue</t>
        </is>
      </c>
      <c r="E3" s="6" t="n"/>
      <c r="F3" s="6" t="n"/>
      <c r="G3" s="7" t="inlineStr">
        <is>
          <t>Écart global</t>
        </is>
      </c>
      <c r="H3" s="8" t="n"/>
      <c r="I3" s="8" t="n"/>
      <c r="J3" s="9" t="inlineStr">
        <is>
          <t>Taux d’occupation</t>
        </is>
      </c>
      <c r="K3" s="10" t="n"/>
      <c r="L3" s="10" t="n"/>
      <c r="M3" s="11" t="inlineStr">
        <is>
          <t>Jalons critiques</t>
        </is>
      </c>
      <c r="N3" s="12" t="n"/>
      <c r="O3" s="12" t="n"/>
      <c r="Q3" s="13" t="inlineStr">
        <is>
          <t>Légende</t>
        </is>
      </c>
    </row>
    <row r="4" ht="22" customHeight="1">
      <c r="A4" s="14">
        <f>SUM(E9:E13)</f>
        <v/>
      </c>
      <c r="B4" s="4" t="n"/>
      <c r="C4" s="4" t="n"/>
      <c r="D4" s="15">
        <f>SUM(F9:F13)</f>
        <v/>
      </c>
      <c r="E4" s="6" t="n"/>
      <c r="F4" s="6" t="n"/>
      <c r="G4" s="16">
        <f>SUM(E9:E13)-SUM(F9:F13)</f>
        <v/>
      </c>
      <c r="H4" s="8" t="n"/>
      <c r="I4" s="8" t="n"/>
      <c r="J4" s="17">
        <f>IFERROR(SUM(F9:F13)/SUM(E9:E13),0)</f>
        <v/>
      </c>
      <c r="K4" s="10" t="n"/>
      <c r="L4" s="10" t="n"/>
      <c r="M4" s="18">
        <f>COUNTIF(I9:I13,"Critique")</f>
        <v/>
      </c>
      <c r="N4" s="12" t="n"/>
      <c r="O4" s="12" t="n"/>
      <c r="Q4" s="19" t="inlineStr">
        <is>
          <t>Équilibré</t>
        </is>
      </c>
    </row>
    <row r="5" ht="22" customHeight="1">
      <c r="A5" s="4" t="n"/>
      <c r="B5" s="4" t="n"/>
      <c r="C5" s="4" t="n"/>
      <c r="D5" s="6" t="n"/>
      <c r="E5" s="6" t="n"/>
      <c r="F5" s="6" t="n"/>
      <c r="G5" s="8" t="n"/>
      <c r="H5" s="8" t="n"/>
      <c r="I5" s="8" t="n"/>
      <c r="J5" s="10" t="n"/>
      <c r="K5" s="10" t="n"/>
      <c r="L5" s="10" t="n"/>
      <c r="M5" s="12" t="n"/>
      <c r="N5" s="12" t="n"/>
      <c r="O5" s="12" t="n"/>
      <c r="Q5" s="20" t="inlineStr">
        <is>
          <t>Tendu</t>
        </is>
      </c>
    </row>
    <row r="6">
      <c r="Q6" s="21" t="inlineStr">
        <is>
          <t>Critique</t>
        </is>
      </c>
    </row>
    <row r="7" ht="24" customHeight="1">
      <c r="A7" s="22" t="inlineStr">
        <is>
          <t>Vue synthétique par jalon</t>
        </is>
      </c>
    </row>
    <row r="8">
      <c r="A8" s="23" t="inlineStr">
        <is>
          <t>Jalon</t>
        </is>
      </c>
      <c r="B8" s="23" t="inlineStr">
        <is>
          <t>Responsable</t>
        </is>
      </c>
      <c r="C8" s="23" t="inlineStr">
        <is>
          <t>Début</t>
        </is>
      </c>
      <c r="D8" s="23" t="inlineStr">
        <is>
          <t>Fin</t>
        </is>
      </c>
      <c r="E8" s="23" t="inlineStr">
        <is>
          <t>Capacité (h)</t>
        </is>
      </c>
      <c r="F8" s="23" t="inlineStr">
        <is>
          <t>Charge (h)</t>
        </is>
      </c>
      <c r="G8" s="23" t="inlineStr">
        <is>
          <t>Écart (h)</t>
        </is>
      </c>
      <c r="H8" s="23" t="inlineStr">
        <is>
          <t>Occupation</t>
        </is>
      </c>
      <c r="I8" s="23" t="inlineStr">
        <is>
          <t>Alerte</t>
        </is>
      </c>
      <c r="J8" s="23" t="inlineStr">
        <is>
          <t>S1</t>
        </is>
      </c>
      <c r="K8" s="23" t="inlineStr">
        <is>
          <t>S2</t>
        </is>
      </c>
      <c r="L8" s="23" t="inlineStr">
        <is>
          <t>S3</t>
        </is>
      </c>
      <c r="M8" s="23" t="inlineStr">
        <is>
          <t>S4</t>
        </is>
      </c>
      <c r="N8" s="23" t="inlineStr">
        <is>
          <t>S5</t>
        </is>
      </c>
      <c r="O8" s="23" t="inlineStr">
        <is>
          <t>S6</t>
        </is>
      </c>
    </row>
    <row r="9">
      <c r="A9" s="24" t="inlineStr">
        <is>
          <t>Cadrage</t>
        </is>
      </c>
      <c r="B9" s="24" t="inlineStr">
        <is>
          <t>Chef de projet</t>
        </is>
      </c>
      <c r="C9" s="25" t="inlineStr">
        <is>
          <t>01/04</t>
        </is>
      </c>
      <c r="D9" s="25" t="inlineStr">
        <is>
          <t>05/04</t>
        </is>
      </c>
      <c r="E9" s="26" t="n">
        <v>40</v>
      </c>
      <c r="F9" s="26" t="n">
        <v>36</v>
      </c>
      <c r="G9" s="26">
        <f>E9-F9</f>
        <v/>
      </c>
      <c r="H9" s="27">
        <f>IFERROR(F9/E9,0)</f>
        <v/>
      </c>
      <c r="I9" s="25">
        <f>IF(H9&gt;1.05,"Critique",IF(H9&gt;0.9,"Tendu","Équilibré"))</f>
        <v/>
      </c>
      <c r="J9" s="28">
        <f>IF(AND(1&gt;=1,1&lt;=2),ROUND($F9/(2-1+1),0),"")</f>
        <v/>
      </c>
      <c r="K9" s="28">
        <f>IF(AND(2&gt;=1,2&lt;=2),ROUND($F9/(2-1+1),0),"")</f>
        <v/>
      </c>
      <c r="L9" s="28">
        <f>IF(AND(3&gt;=1,3&lt;=2),ROUND($F9/(2-1+1),0),"")</f>
        <v/>
      </c>
      <c r="M9" s="28">
        <f>IF(AND(4&gt;=1,4&lt;=2),ROUND($F9/(2-1+1),0),"")</f>
        <v/>
      </c>
      <c r="N9" s="28">
        <f>IF(AND(5&gt;=1,5&lt;=2),ROUND($F9/(2-1+1),0),"")</f>
        <v/>
      </c>
      <c r="O9" s="28">
        <f>IF(AND(6&gt;=1,6&lt;=2),ROUND($F9/(2-1+1),0),"")</f>
        <v/>
      </c>
    </row>
    <row r="10">
      <c r="A10" s="24" t="inlineStr">
        <is>
          <t>Conception</t>
        </is>
      </c>
      <c r="B10" s="24" t="inlineStr">
        <is>
          <t>MOA / UX</t>
        </is>
      </c>
      <c r="C10" s="25" t="inlineStr">
        <is>
          <t>06/04</t>
        </is>
      </c>
      <c r="D10" s="25" t="inlineStr">
        <is>
          <t>12/04</t>
        </is>
      </c>
      <c r="E10" s="26" t="n">
        <v>56</v>
      </c>
      <c r="F10" s="26" t="n">
        <v>61</v>
      </c>
      <c r="G10" s="26">
        <f>E10-F10</f>
        <v/>
      </c>
      <c r="H10" s="27">
        <f>IFERROR(F10/E10,0)</f>
        <v/>
      </c>
      <c r="I10" s="25">
        <f>IF(H10&gt;1.05,"Critique",IF(H10&gt;0.9,"Tendu","Équilibré"))</f>
        <v/>
      </c>
      <c r="J10" s="29">
        <f>IF(AND(1&gt;=2,1&lt;=3),ROUND($F10/(3-2+1),0),"")</f>
        <v/>
      </c>
      <c r="K10" s="29">
        <f>IF(AND(2&gt;=2,2&lt;=3),ROUND($F10/(3-2+1),0),"")</f>
        <v/>
      </c>
      <c r="L10" s="29">
        <f>IF(AND(3&gt;=2,3&lt;=3),ROUND($F10/(3-2+1),0),"")</f>
        <v/>
      </c>
      <c r="M10" s="29">
        <f>IF(AND(4&gt;=2,4&lt;=3),ROUND($F10/(3-2+1),0),"")</f>
        <v/>
      </c>
      <c r="N10" s="29">
        <f>IF(AND(5&gt;=2,5&lt;=3),ROUND($F10/(3-2+1),0),"")</f>
        <v/>
      </c>
      <c r="O10" s="29">
        <f>IF(AND(6&gt;=2,6&lt;=3),ROUND($F10/(3-2+1),0),"")</f>
        <v/>
      </c>
    </row>
    <row r="11">
      <c r="A11" s="24" t="inlineStr">
        <is>
          <t>Développement</t>
        </is>
      </c>
      <c r="B11" s="24" t="inlineStr">
        <is>
          <t>Équipe dev</t>
        </is>
      </c>
      <c r="C11" s="25" t="inlineStr">
        <is>
          <t>13/04</t>
        </is>
      </c>
      <c r="D11" s="25" t="inlineStr">
        <is>
          <t>26/04</t>
        </is>
      </c>
      <c r="E11" s="26" t="n">
        <v>120</v>
      </c>
      <c r="F11" s="26" t="n">
        <v>132</v>
      </c>
      <c r="G11" s="26">
        <f>E11-F11</f>
        <v/>
      </c>
      <c r="H11" s="27">
        <f>IFERROR(F11/E11,0)</f>
        <v/>
      </c>
      <c r="I11" s="25">
        <f>IF(H11&gt;1.05,"Critique",IF(H11&gt;0.9,"Tendu","Équilibré"))</f>
        <v/>
      </c>
      <c r="J11" s="30">
        <f>IF(AND(1&gt;=3,1&lt;=5),ROUND($F11/(5-3+1),0),"")</f>
        <v/>
      </c>
      <c r="K11" s="30">
        <f>IF(AND(2&gt;=3,2&lt;=5),ROUND($F11/(5-3+1),0),"")</f>
        <v/>
      </c>
      <c r="L11" s="30">
        <f>IF(AND(3&gt;=3,3&lt;=5),ROUND($F11/(5-3+1),0),"")</f>
        <v/>
      </c>
      <c r="M11" s="30">
        <f>IF(AND(4&gt;=3,4&lt;=5),ROUND($F11/(5-3+1),0),"")</f>
        <v/>
      </c>
      <c r="N11" s="30">
        <f>IF(AND(5&gt;=3,5&lt;=5),ROUND($F11/(5-3+1),0),"")</f>
        <v/>
      </c>
      <c r="O11" s="30">
        <f>IF(AND(6&gt;=3,6&lt;=5),ROUND($F11/(5-3+1),0),"")</f>
        <v/>
      </c>
    </row>
    <row r="12">
      <c r="A12" s="24" t="inlineStr">
        <is>
          <t>Tests</t>
        </is>
      </c>
      <c r="B12" s="24" t="inlineStr">
        <is>
          <t>QA</t>
        </is>
      </c>
      <c r="C12" s="25" t="inlineStr">
        <is>
          <t>27/04</t>
        </is>
      </c>
      <c r="D12" s="25" t="inlineStr">
        <is>
          <t>03/05</t>
        </is>
      </c>
      <c r="E12" s="26" t="n">
        <v>48</v>
      </c>
      <c r="F12" s="26" t="n">
        <v>39</v>
      </c>
      <c r="G12" s="26">
        <f>E12-F12</f>
        <v/>
      </c>
      <c r="H12" s="27">
        <f>IFERROR(F12/E12,0)</f>
        <v/>
      </c>
      <c r="I12" s="25">
        <f>IF(H12&gt;1.05,"Critique",IF(H12&gt;0.9,"Tendu","Équilibré"))</f>
        <v/>
      </c>
      <c r="J12" s="31">
        <f>IF(AND(1&gt;=5,1&lt;=6),ROUND($F12/(6-5+1),0),"")</f>
        <v/>
      </c>
      <c r="K12" s="31">
        <f>IF(AND(2&gt;=5,2&lt;=6),ROUND($F12/(6-5+1),0),"")</f>
        <v/>
      </c>
      <c r="L12" s="31">
        <f>IF(AND(3&gt;=5,3&lt;=6),ROUND($F12/(6-5+1),0),"")</f>
        <v/>
      </c>
      <c r="M12" s="31">
        <f>IF(AND(4&gt;=5,4&lt;=6),ROUND($F12/(6-5+1),0),"")</f>
        <v/>
      </c>
      <c r="N12" s="31">
        <f>IF(AND(5&gt;=5,5&lt;=6),ROUND($F12/(6-5+1),0),"")</f>
        <v/>
      </c>
      <c r="O12" s="31">
        <f>IF(AND(6&gt;=5,6&lt;=6),ROUND($F12/(6-5+1),0),"")</f>
        <v/>
      </c>
    </row>
    <row r="13">
      <c r="A13" s="24" t="inlineStr">
        <is>
          <t>Déploiement</t>
        </is>
      </c>
      <c r="B13" s="24" t="inlineStr">
        <is>
          <t>Ops / PM</t>
        </is>
      </c>
      <c r="C13" s="25" t="inlineStr">
        <is>
          <t>04/05</t>
        </is>
      </c>
      <c r="D13" s="25" t="inlineStr">
        <is>
          <t>07/05</t>
        </is>
      </c>
      <c r="E13" s="26" t="n">
        <v>24</v>
      </c>
      <c r="F13" s="26" t="n">
        <v>22</v>
      </c>
      <c r="G13" s="26">
        <f>E13-F13</f>
        <v/>
      </c>
      <c r="H13" s="27">
        <f>IFERROR(F13/E13,0)</f>
        <v/>
      </c>
      <c r="I13" s="25">
        <f>IF(H13&gt;1.05,"Critique",IF(H13&gt;0.9,"Tendu","Équilibré"))</f>
        <v/>
      </c>
      <c r="J13" s="32">
        <f>IF(AND(1&gt;=6,1&lt;=6),ROUND($F13/(6-6+1),0),"")</f>
        <v/>
      </c>
      <c r="K13" s="32">
        <f>IF(AND(2&gt;=6,2&lt;=6),ROUND($F13/(6-6+1),0),"")</f>
        <v/>
      </c>
      <c r="L13" s="32">
        <f>IF(AND(3&gt;=6,3&lt;=6),ROUND($F13/(6-6+1),0),"")</f>
        <v/>
      </c>
      <c r="M13" s="32">
        <f>IF(AND(4&gt;=6,4&lt;=6),ROUND($F13/(6-6+1),0),"")</f>
        <v/>
      </c>
      <c r="N13" s="32">
        <f>IF(AND(5&gt;=6,5&lt;=6),ROUND($F13/(6-6+1),0),"")</f>
        <v/>
      </c>
      <c r="O13" s="32">
        <f>IF(AND(6&gt;=6,6&lt;=6),ROUND($F13/(6-6+1),0),"")</f>
        <v/>
      </c>
    </row>
    <row r="16" ht="24" customHeight="1">
      <c r="A16" s="22" t="inlineStr">
        <is>
          <t>Détail du plan de charge par tâche</t>
        </is>
      </c>
    </row>
    <row r="17">
      <c r="A17" s="33" t="inlineStr">
        <is>
          <t>Jalon</t>
        </is>
      </c>
      <c r="B17" s="33" t="inlineStr">
        <is>
          <t>Tâche</t>
        </is>
      </c>
      <c r="C17" s="33" t="inlineStr">
        <is>
          <t>Rôle</t>
        </is>
      </c>
      <c r="D17" s="33" t="inlineStr">
        <is>
          <t>Charge prévue</t>
        </is>
      </c>
      <c r="E17" s="33" t="inlineStr">
        <is>
          <t>Charge réelle</t>
        </is>
      </c>
      <c r="F17" s="33" t="inlineStr">
        <is>
          <t>Écart</t>
        </is>
      </c>
      <c r="G17" s="33" t="inlineStr">
        <is>
          <t>Priorité</t>
        </is>
      </c>
      <c r="H17" s="33" t="inlineStr">
        <is>
          <t>Statut</t>
        </is>
      </c>
      <c r="I17" s="33" t="inlineStr">
        <is>
          <t>Commentaire</t>
        </is>
      </c>
    </row>
    <row r="18">
      <c r="A18" s="24" t="inlineStr">
        <is>
          <t>Cadrage</t>
        </is>
      </c>
      <c r="B18" s="24" t="inlineStr">
        <is>
          <t>Recueil des besoins</t>
        </is>
      </c>
      <c r="C18" s="24" t="inlineStr">
        <is>
          <t>Chef de projet</t>
        </is>
      </c>
      <c r="D18" s="26" t="n">
        <v>18</v>
      </c>
      <c r="E18" s="26" t="n">
        <v>16</v>
      </c>
      <c r="F18" s="26">
        <f>D18-E18</f>
        <v/>
      </c>
      <c r="G18" s="34" t="inlineStr">
        <is>
          <t>Haute</t>
        </is>
      </c>
      <c r="H18" s="35" t="inlineStr">
        <is>
          <t>Clos</t>
        </is>
      </c>
      <c r="I18" s="24" t="inlineStr">
        <is>
          <t>Base projet validée</t>
        </is>
      </c>
    </row>
    <row r="19">
      <c r="A19" s="24" t="inlineStr">
        <is>
          <t>Cadrage</t>
        </is>
      </c>
      <c r="B19" s="24" t="inlineStr">
        <is>
          <t>Kick-off</t>
        </is>
      </c>
      <c r="C19" s="24" t="inlineStr">
        <is>
          <t>Chef de projet</t>
        </is>
      </c>
      <c r="D19" s="26" t="n">
        <v>18</v>
      </c>
      <c r="E19" s="26" t="n">
        <v>20</v>
      </c>
      <c r="F19" s="26">
        <f>D19-E19</f>
        <v/>
      </c>
      <c r="G19" s="34" t="inlineStr">
        <is>
          <t>Haute</t>
        </is>
      </c>
      <c r="H19" s="35" t="inlineStr">
        <is>
          <t>Clos</t>
        </is>
      </c>
      <c r="I19" s="24" t="inlineStr">
        <is>
          <t>Charge légèrement supérieure</t>
        </is>
      </c>
    </row>
    <row r="20">
      <c r="A20" s="24" t="inlineStr">
        <is>
          <t>Conception</t>
        </is>
      </c>
      <c r="B20" s="24" t="inlineStr">
        <is>
          <t>Maquettes</t>
        </is>
      </c>
      <c r="C20" s="24" t="inlineStr">
        <is>
          <t>UX</t>
        </is>
      </c>
      <c r="D20" s="26" t="n">
        <v>28</v>
      </c>
      <c r="E20" s="26" t="n">
        <v>31</v>
      </c>
      <c r="F20" s="26">
        <f>D20-E20</f>
        <v/>
      </c>
      <c r="G20" s="34" t="inlineStr">
        <is>
          <t>Haute</t>
        </is>
      </c>
      <c r="H20" s="36" t="inlineStr">
        <is>
          <t>En cours</t>
        </is>
      </c>
      <c r="I20" s="24" t="inlineStr">
        <is>
          <t>Validation métier attendue</t>
        </is>
      </c>
      <c r="Q20" s="37" t="inlineStr">
        <is>
          <t>Type</t>
        </is>
      </c>
      <c r="R20" s="37" t="inlineStr">
        <is>
          <t>Nb</t>
        </is>
      </c>
    </row>
    <row r="21">
      <c r="A21" s="24" t="inlineStr">
        <is>
          <t>Conception</t>
        </is>
      </c>
      <c r="B21" s="24" t="inlineStr">
        <is>
          <t>Spécifications</t>
        </is>
      </c>
      <c r="C21" s="24" t="inlineStr">
        <is>
          <t>MOA</t>
        </is>
      </c>
      <c r="D21" s="26" t="n">
        <v>33</v>
      </c>
      <c r="E21" s="26" t="n">
        <v>30</v>
      </c>
      <c r="F21" s="26">
        <f>D21-E21</f>
        <v/>
      </c>
      <c r="G21" s="34" t="inlineStr">
        <is>
          <t>Haute</t>
        </is>
      </c>
      <c r="H21" s="36" t="inlineStr">
        <is>
          <t>En cours</t>
        </is>
      </c>
      <c r="I21" s="24" t="inlineStr">
        <is>
          <t>Reste modéré</t>
        </is>
      </c>
      <c r="Q21" s="38" t="inlineStr">
        <is>
          <t>Équilibré</t>
        </is>
      </c>
      <c r="R21" s="38">
        <f>COUNTIF(I9:I13,"Équilibré")</f>
        <v/>
      </c>
    </row>
    <row r="22">
      <c r="A22" s="24" t="inlineStr">
        <is>
          <t>Développement</t>
        </is>
      </c>
      <c r="B22" s="24" t="inlineStr">
        <is>
          <t>Back-end</t>
        </is>
      </c>
      <c r="C22" s="24" t="inlineStr">
        <is>
          <t>Dev</t>
        </is>
      </c>
      <c r="D22" s="26" t="n">
        <v>70</v>
      </c>
      <c r="E22" s="26" t="n">
        <v>74</v>
      </c>
      <c r="F22" s="26">
        <f>D22-E22</f>
        <v/>
      </c>
      <c r="G22" s="34" t="inlineStr">
        <is>
          <t>Haute</t>
        </is>
      </c>
      <c r="H22" s="36" t="inlineStr">
        <is>
          <t>En cours</t>
        </is>
      </c>
      <c r="I22" s="24" t="inlineStr">
        <is>
          <t>Sprint dense</t>
        </is>
      </c>
      <c r="Q22" s="38" t="inlineStr">
        <is>
          <t>Tendu</t>
        </is>
      </c>
      <c r="R22" s="38">
        <f>COUNTIF(I9:I13,"Tendu")</f>
        <v/>
      </c>
    </row>
    <row r="23">
      <c r="A23" s="24" t="inlineStr">
        <is>
          <t>Développement</t>
        </is>
      </c>
      <c r="B23" s="24" t="inlineStr">
        <is>
          <t>Front-end</t>
        </is>
      </c>
      <c r="C23" s="24" t="inlineStr">
        <is>
          <t>Dev</t>
        </is>
      </c>
      <c r="D23" s="26" t="n">
        <v>62</v>
      </c>
      <c r="E23" s="26" t="n">
        <v>58</v>
      </c>
      <c r="F23" s="26">
        <f>D23-E23</f>
        <v/>
      </c>
      <c r="G23" s="36" t="inlineStr">
        <is>
          <t>Moyenne</t>
        </is>
      </c>
      <c r="H23" s="36" t="inlineStr">
        <is>
          <t>En cours</t>
        </is>
      </c>
      <c r="I23" s="24" t="inlineStr">
        <is>
          <t>Rythme correct</t>
        </is>
      </c>
      <c r="Q23" s="38" t="inlineStr">
        <is>
          <t>Critique</t>
        </is>
      </c>
      <c r="R23" s="38">
        <f>COUNTIF(I9:I13,"Critique")</f>
        <v/>
      </c>
    </row>
    <row r="24">
      <c r="A24" s="24" t="inlineStr">
        <is>
          <t>Tests</t>
        </is>
      </c>
      <c r="B24" s="24" t="inlineStr">
        <is>
          <t>Tests unitaires</t>
        </is>
      </c>
      <c r="C24" s="24" t="inlineStr">
        <is>
          <t>QA</t>
        </is>
      </c>
      <c r="D24" s="26" t="n">
        <v>19</v>
      </c>
      <c r="E24" s="26" t="n">
        <v>14</v>
      </c>
      <c r="F24" s="26">
        <f>D24-E24</f>
        <v/>
      </c>
      <c r="G24" s="36" t="inlineStr">
        <is>
          <t>Moyenne</t>
        </is>
      </c>
      <c r="H24" s="39" t="inlineStr">
        <is>
          <t>À venir</t>
        </is>
      </c>
      <c r="I24" s="24" t="inlineStr">
        <is>
          <t>Prévu semaine 5</t>
        </is>
      </c>
    </row>
    <row r="25">
      <c r="A25" s="24" t="inlineStr">
        <is>
          <t>Tests</t>
        </is>
      </c>
      <c r="B25" s="24" t="inlineStr">
        <is>
          <t>Tests recette</t>
        </is>
      </c>
      <c r="C25" s="24" t="inlineStr">
        <is>
          <t>QA</t>
        </is>
      </c>
      <c r="D25" s="26" t="n">
        <v>20</v>
      </c>
      <c r="E25" s="26" t="n">
        <v>17</v>
      </c>
      <c r="F25" s="26">
        <f>D25-E25</f>
        <v/>
      </c>
      <c r="G25" s="36" t="inlineStr">
        <is>
          <t>Moyenne</t>
        </is>
      </c>
      <c r="H25" s="39" t="inlineStr">
        <is>
          <t>À venir</t>
        </is>
      </c>
      <c r="I25" s="24" t="inlineStr">
        <is>
          <t>Prévu semaine 6</t>
        </is>
      </c>
    </row>
    <row r="26">
      <c r="A26" s="24" t="inlineStr">
        <is>
          <t>Déploiement</t>
        </is>
      </c>
      <c r="B26" s="24" t="inlineStr">
        <is>
          <t>Mise en production</t>
        </is>
      </c>
      <c r="C26" s="24" t="inlineStr">
        <is>
          <t>Ops</t>
        </is>
      </c>
      <c r="D26" s="26" t="n">
        <v>12</v>
      </c>
      <c r="E26" s="26" t="n">
        <v>0</v>
      </c>
      <c r="F26" s="26">
        <f>D26-E26</f>
        <v/>
      </c>
      <c r="G26" s="34" t="inlineStr">
        <is>
          <t>Haute</t>
        </is>
      </c>
      <c r="H26" s="39" t="inlineStr">
        <is>
          <t>À venir</t>
        </is>
      </c>
      <c r="I26" s="24" t="inlineStr">
        <is>
          <t>Fenêtre à confirmer</t>
        </is>
      </c>
    </row>
    <row r="27">
      <c r="A27" s="24" t="inlineStr">
        <is>
          <t>Déploiement</t>
        </is>
      </c>
      <c r="B27" s="24" t="inlineStr">
        <is>
          <t>Support de démarrage</t>
        </is>
      </c>
      <c r="C27" s="24" t="inlineStr">
        <is>
          <t>PM</t>
        </is>
      </c>
      <c r="D27" s="26" t="n">
        <v>10</v>
      </c>
      <c r="E27" s="26" t="n">
        <v>0</v>
      </c>
      <c r="F27" s="26">
        <f>D27-E27</f>
        <v/>
      </c>
      <c r="G27" s="36" t="inlineStr">
        <is>
          <t>Moyenne</t>
        </is>
      </c>
      <c r="H27" s="39" t="inlineStr">
        <is>
          <t>À venir</t>
        </is>
      </c>
      <c r="I27" s="24" t="inlineStr">
        <is>
          <t>Support J+2 prévu</t>
        </is>
      </c>
    </row>
  </sheetData>
  <mergeCells count="14">
    <mergeCell ref="A7:O7"/>
    <mergeCell ref="A2:R2"/>
    <mergeCell ref="M3:O3"/>
    <mergeCell ref="M4:O5"/>
    <mergeCell ref="D3:F3"/>
    <mergeCell ref="A3:C3"/>
    <mergeCell ref="A4:C5"/>
    <mergeCell ref="A1:R1"/>
    <mergeCell ref="D4:F5"/>
    <mergeCell ref="G3:I3"/>
    <mergeCell ref="G4:I5"/>
    <mergeCell ref="J3:L3"/>
    <mergeCell ref="J4:L5"/>
    <mergeCell ref="A16:I16"/>
  </mergeCells>
  <conditionalFormatting sqref="H9:H13">
    <cfRule type="colorScale" priority="1">
      <colorScale>
        <cfvo type="num" val="0.5"/>
        <cfvo type="num" val="0.9"/>
        <cfvo type="num" val="1.2"/>
        <color rgb="00DDF5E7"/>
        <color rgb="00FFF3D6"/>
        <color rgb="00FCE3E3"/>
      </colorScale>
    </cfRule>
  </conditionalFormatting>
  <conditionalFormatting sqref="I9:I13">
    <cfRule type="cellIs" priority="2" operator="equal" dxfId="0">
      <formula>"Critique"</formula>
    </cfRule>
    <cfRule type="cellIs" priority="3" operator="equal" dxfId="1">
      <formula>"Tendu"</formula>
    </cfRule>
    <cfRule type="cellIs" priority="4" operator="equal" dxfId="2">
      <formula>"Équilibré"</formula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2026-03-24T10:26:06Z</dcterms:created>
  <dcterms:modified xmlns:dcterms="http://purl.org/dc/terms/" xmlns:xsi="http://www.w3.org/2001/XMLSchema-instance" xsi:type="dcterms:W3CDTF">2026-03-24T10:26:06Z</dcterms:modified>
</cp:coreProperties>
</file>