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Participants" sheetId="2" r:id="rId2"/>
    <sheet name="Trajets" sheetId="3" r:id="rId3"/>
    <sheet name="Planning" sheetId="4" r:id="rId4"/>
    <sheet name="Inscriptions" sheetId="5" r:id="rId5"/>
    <sheet name="Tableau de Bord" sheetId="6" r:id="rId6"/>
    <sheet name="Sécurité &amp; Assurance" sheetId="7" r:id="rId7"/>
  </sheets>
  <definedNames>
    <definedName name="CO2gkm">Paramètres!$B$2</definedName>
    <definedName name="CoutKm">Paramètres!$B$1</definedName>
    <definedName name="DeviseSym">Paramètres!$B$4</definedName>
    <definedName name="InclureCond">Paramètres!$B$3</definedName>
    <definedName name="ListeCreneaux">Paramètres!$B$13:$B$15</definedName>
    <definedName name="ListeStatuts">Paramètres!$B$8:$B$11</definedName>
    <definedName name="ParticipantNoms">Participants!$B$2:$B$100</definedName>
    <definedName name="TrajetIDs">Trajets!$A$2:$A$100</definedName>
  </definedNames>
  <calcPr calcId="124519" fullCalcOnLoad="1"/>
</workbook>
</file>

<file path=xl/sharedStrings.xml><?xml version="1.0" encoding="utf-8"?>
<sst xmlns="http://schemas.openxmlformats.org/spreadsheetml/2006/main" count="390" uniqueCount="246">
  <si>
    <t>Coût par km (€/km)</t>
  </si>
  <si>
    <t>Facteur CO₂ (g/km)</t>
  </si>
  <si>
    <t>Inclure conducteur dans le partage</t>
  </si>
  <si>
    <t>Oui</t>
  </si>
  <si>
    <t>Devise (affichage)</t>
  </si>
  <si>
    <t>€</t>
  </si>
  <si>
    <t>Listes pour validations</t>
  </si>
  <si>
    <t>Statuts</t>
  </si>
  <si>
    <t>Ouvert</t>
  </si>
  <si>
    <t>À confirmer</t>
  </si>
  <si>
    <t>Complet</t>
  </si>
  <si>
    <t>Annulé</t>
  </si>
  <si>
    <t>Créneaux</t>
  </si>
  <si>
    <t>Matin</t>
  </si>
  <si>
    <t>Midi</t>
  </si>
  <si>
    <t>Soir</t>
  </si>
  <si>
    <t>Participant ID</t>
  </si>
  <si>
    <t>Nom &amp; Prénom</t>
  </si>
  <si>
    <t>Téléphone</t>
  </si>
  <si>
    <t>Email</t>
  </si>
  <si>
    <t>Ville</t>
  </si>
  <si>
    <t>Véhicule</t>
  </si>
  <si>
    <t>Capacité passagers</t>
  </si>
  <si>
    <t>Conducteur (Oui/Non)</t>
  </si>
  <si>
    <t>Jours préférés</t>
  </si>
  <si>
    <t>P001</t>
  </si>
  <si>
    <t>Lucie Martin</t>
  </si>
  <si>
    <t>+33600000001</t>
  </si>
  <si>
    <t>lucie.martin@example.fr</t>
  </si>
  <si>
    <t>Paris</t>
  </si>
  <si>
    <t>Dacia Sandero</t>
  </si>
  <si>
    <t>Lun, Mar, Jeu</t>
  </si>
  <si>
    <t>P002</t>
  </si>
  <si>
    <t>Martin Dupont</t>
  </si>
  <si>
    <t>+33600000002</t>
  </si>
  <si>
    <t>martin.dupont@example.fr</t>
  </si>
  <si>
    <t>Lyon</t>
  </si>
  <si>
    <t>Peugeot 208</t>
  </si>
  <si>
    <t>Lun, Mer, Ven</t>
  </si>
  <si>
    <t>P003</t>
  </si>
  <si>
    <t>Chloé Bernard</t>
  </si>
  <si>
    <t>+33600000003</t>
  </si>
  <si>
    <t>chloe.bernard@example.fr</t>
  </si>
  <si>
    <t>Lille</t>
  </si>
  <si>
    <t>—</t>
  </si>
  <si>
    <t>Non</t>
  </si>
  <si>
    <t>Mar, Jeu</t>
  </si>
  <si>
    <t>P004</t>
  </si>
  <si>
    <t>Pierre Moreau</t>
  </si>
  <si>
    <t>+33600000004</t>
  </si>
  <si>
    <t>pierre.moreau@example.fr</t>
  </si>
  <si>
    <t>Rennes</t>
  </si>
  <si>
    <t>Clio 5</t>
  </si>
  <si>
    <t>Lun, Mer, Jeu</t>
  </si>
  <si>
    <t>P005</t>
  </si>
  <si>
    <t>Camille Laurent</t>
  </si>
  <si>
    <t>+33600000005</t>
  </si>
  <si>
    <t>camille.laurent@example.fr</t>
  </si>
  <si>
    <t>Bordeaux</t>
  </si>
  <si>
    <t>P006</t>
  </si>
  <si>
    <t>Hugo Lefèvre</t>
  </si>
  <si>
    <t>+33600000006</t>
  </si>
  <si>
    <t>hugo.lefevre@example.fr</t>
  </si>
  <si>
    <t>Grenoble</t>
  </si>
  <si>
    <t>Hyundai i10</t>
  </si>
  <si>
    <t>Mar, Jeu, Ven</t>
  </si>
  <si>
    <t>Trajet ID</t>
  </si>
  <si>
    <t>Départ</t>
  </si>
  <si>
    <t>Destination</t>
  </si>
  <si>
    <t>Distance (km)</t>
  </si>
  <si>
    <t>Péages (€)</t>
  </si>
  <si>
    <t>Notes</t>
  </si>
  <si>
    <t>T001</t>
  </si>
  <si>
    <t>A6/A7 — autoroute</t>
  </si>
  <si>
    <t>T002</t>
  </si>
  <si>
    <t>A48</t>
  </si>
  <si>
    <t>T003</t>
  </si>
  <si>
    <t>A1</t>
  </si>
  <si>
    <t>T004</t>
  </si>
  <si>
    <t>Nantes</t>
  </si>
  <si>
    <t>Voie rapide (gratuit)</t>
  </si>
  <si>
    <t>T005</t>
  </si>
  <si>
    <t>Toulouse</t>
  </si>
  <si>
    <t>A62</t>
  </si>
  <si>
    <t>ID</t>
  </si>
  <si>
    <t>Date</t>
  </si>
  <si>
    <t>Créneau</t>
  </si>
  <si>
    <t>Conducteur</t>
  </si>
  <si>
    <t>Places passagers</t>
  </si>
  <si>
    <t>Nb passagers</t>
  </si>
  <si>
    <t>Places restantes</t>
  </si>
  <si>
    <t>Statut</t>
  </si>
  <si>
    <t>Coût Trajet (€)</t>
  </si>
  <si>
    <t>CO₂ économisée (kg)</t>
  </si>
  <si>
    <t>R002</t>
  </si>
  <si>
    <t>R003</t>
  </si>
  <si>
    <t>R004</t>
  </si>
  <si>
    <t>R005</t>
  </si>
  <si>
    <t>R006</t>
  </si>
  <si>
    <t>R007</t>
  </si>
  <si>
    <t>R008</t>
  </si>
  <si>
    <t>R009</t>
  </si>
  <si>
    <t>R010</t>
  </si>
  <si>
    <t>R011</t>
  </si>
  <si>
    <t>R012</t>
  </si>
  <si>
    <t>R013</t>
  </si>
  <si>
    <t>R014</t>
  </si>
  <si>
    <t>R015</t>
  </si>
  <si>
    <t>R016</t>
  </si>
  <si>
    <t>R017</t>
  </si>
  <si>
    <t>R018</t>
  </si>
  <si>
    <t>R019</t>
  </si>
  <si>
    <t>R020</t>
  </si>
  <si>
    <t>R021</t>
  </si>
  <si>
    <t>R022</t>
  </si>
  <si>
    <t>R023</t>
  </si>
  <si>
    <t>R024</t>
  </si>
  <si>
    <t>R025</t>
  </si>
  <si>
    <t>R026</t>
  </si>
  <si>
    <t>R027</t>
  </si>
  <si>
    <t>R028</t>
  </si>
  <si>
    <t>R029</t>
  </si>
  <si>
    <t>R030</t>
  </si>
  <si>
    <t>R031</t>
  </si>
  <si>
    <t>R032</t>
  </si>
  <si>
    <t>R033</t>
  </si>
  <si>
    <t>R034</t>
  </si>
  <si>
    <t>R035</t>
  </si>
  <si>
    <t>R036</t>
  </si>
  <si>
    <t>R037</t>
  </si>
  <si>
    <t>R038</t>
  </si>
  <si>
    <t>R039</t>
  </si>
  <si>
    <t>R040</t>
  </si>
  <si>
    <t>R041</t>
  </si>
  <si>
    <t>R042</t>
  </si>
  <si>
    <t>R043</t>
  </si>
  <si>
    <t>R044</t>
  </si>
  <si>
    <t>R045</t>
  </si>
  <si>
    <t>R046</t>
  </si>
  <si>
    <t>R047</t>
  </si>
  <si>
    <t>R048</t>
  </si>
  <si>
    <t>R049</t>
  </si>
  <si>
    <t>R050</t>
  </si>
  <si>
    <t>R051</t>
  </si>
  <si>
    <t>R052</t>
  </si>
  <si>
    <t>R053</t>
  </si>
  <si>
    <t>R054</t>
  </si>
  <si>
    <t>R055</t>
  </si>
  <si>
    <t>R056</t>
  </si>
  <si>
    <t>R057</t>
  </si>
  <si>
    <t>R058</t>
  </si>
  <si>
    <t>R059</t>
  </si>
  <si>
    <t>R060</t>
  </si>
  <si>
    <t>R061</t>
  </si>
  <si>
    <t>R062</t>
  </si>
  <si>
    <t>R063</t>
  </si>
  <si>
    <t>R064</t>
  </si>
  <si>
    <t>R065</t>
  </si>
  <si>
    <t>R066</t>
  </si>
  <si>
    <t>R067</t>
  </si>
  <si>
    <t>R068</t>
  </si>
  <si>
    <t>R069</t>
  </si>
  <si>
    <t>R070</t>
  </si>
  <si>
    <t>R071</t>
  </si>
  <si>
    <t>R072</t>
  </si>
  <si>
    <t>R073</t>
  </si>
  <si>
    <t>R074</t>
  </si>
  <si>
    <t>R075</t>
  </si>
  <si>
    <t>R076</t>
  </si>
  <si>
    <t>R077</t>
  </si>
  <si>
    <t>R078</t>
  </si>
  <si>
    <t>R079</t>
  </si>
  <si>
    <t>R080</t>
  </si>
  <si>
    <t>R081</t>
  </si>
  <si>
    <t>R082</t>
  </si>
  <si>
    <t>R083</t>
  </si>
  <si>
    <t>R084</t>
  </si>
  <si>
    <t>R085</t>
  </si>
  <si>
    <t>R086</t>
  </si>
  <si>
    <t>R087</t>
  </si>
  <si>
    <t>R088</t>
  </si>
  <si>
    <t>R089</t>
  </si>
  <si>
    <t>R090</t>
  </si>
  <si>
    <t>R091</t>
  </si>
  <si>
    <t>R092</t>
  </si>
  <si>
    <t>R093</t>
  </si>
  <si>
    <t>R094</t>
  </si>
  <si>
    <t>R095</t>
  </si>
  <si>
    <t>R096</t>
  </si>
  <si>
    <t>R097</t>
  </si>
  <si>
    <t>R098</t>
  </si>
  <si>
    <t>R099</t>
  </si>
  <si>
    <t>R100</t>
  </si>
  <si>
    <t>R101</t>
  </si>
  <si>
    <t>Course ID</t>
  </si>
  <si>
    <t>Passager</t>
  </si>
  <si>
    <t>Valide (Oui/Non)</t>
  </si>
  <si>
    <t>Contribution (€)</t>
  </si>
  <si>
    <t>TABLEAU DE BORD — Covoiturage</t>
  </si>
  <si>
    <t>KPIs clés (hors courses annulées)</t>
  </si>
  <si>
    <t>Nombre de courses (planifiées)</t>
  </si>
  <si>
    <t>Passagers transportés</t>
  </si>
  <si>
    <t>Kilomètres partagés</t>
  </si>
  <si>
    <t>Coût total mutualisé (€)</t>
  </si>
  <si>
    <t>Répartition par statut</t>
  </si>
  <si>
    <t>Top conducteurs (nombre de courses)</t>
  </si>
  <si>
    <t>Courses</t>
  </si>
  <si>
    <t>SÉCURITÉ &amp; ASSURANCE — Covoiturage (FR)</t>
  </si>
  <si>
    <t>IDENTITÉ &amp; CONTRAT</t>
  </si>
  <si>
    <t>Conducteur principal</t>
  </si>
  <si>
    <t>Assureur</t>
  </si>
  <si>
    <t>N° contrat</t>
  </si>
  <si>
    <t>Assistance 24/7 (tél.)</t>
  </si>
  <si>
    <t>Usage autorisé (privé / domicile-travail)</t>
  </si>
  <si>
    <t>Privé + domicile-travail</t>
  </si>
  <si>
    <t>GARANTIES &amp; OPTIONS</t>
  </si>
  <si>
    <t>Garantie</t>
  </si>
  <si>
    <t>Active (Oui/Non)</t>
  </si>
  <si>
    <t>Franchise (€)</t>
  </si>
  <si>
    <t>Observations</t>
  </si>
  <si>
    <t>Responsabilité Civile (obligatoire)</t>
  </si>
  <si>
    <t>Garantie Conducteur</t>
  </si>
  <si>
    <t>Dommages Tous Accidents</t>
  </si>
  <si>
    <t>Vol</t>
  </si>
  <si>
    <t>Incendie</t>
  </si>
  <si>
    <t>Bris de glace</t>
  </si>
  <si>
    <t>Défense-Recours</t>
  </si>
  <si>
    <t>Assistance 0 km</t>
  </si>
  <si>
    <t>CHECKLIST SÉCURITÉ AVANT DÉPART</t>
  </si>
  <si>
    <t>Élément à vérifier</t>
  </si>
  <si>
    <t>OK (Oui/Non)</t>
  </si>
  <si>
    <t>Pneus (pression/usure)</t>
  </si>
  <si>
    <t>Feux &amp; clignotants</t>
  </si>
  <si>
    <t>Freins (alerte tableau de bord)</t>
  </si>
  <si>
    <t>Ceintures &amp; airbags</t>
  </si>
  <si>
    <t>Siège enfant/ rehausseur</t>
  </si>
  <si>
    <t>Pare-brise/ essuie-glaces</t>
  </si>
  <si>
    <t>Triangle, gilet, trousse</t>
  </si>
  <si>
    <t>Charge arrimée/ visibilité</t>
  </si>
  <si>
    <t>SINISTRE : RÉFLEXES &amp; DÉLAIS</t>
  </si>
  <si>
    <t>Délai de déclaration (jours ouvrés)</t>
  </si>
  <si>
    <t>Constat amiable (checklist rapide)</t>
  </si>
  <si>
    <t>Photos / croquis / témoins / circonstances</t>
  </si>
  <si>
    <t>Notes supplémentaires</t>
  </si>
  <si>
    <t>Rappel : les passagers sont indemnisés comme tiers via la RC du véhicule. Le covoiturage doit rester non lucratif (partage des coûts réels).</t>
  </si>
  <si>
    <t>Conseil: ajustez coût/km, CO₂ et listes de statuts/créneaux ici.</t>
  </si>
</sst>
</file>

<file path=xl/styles.xml><?xml version="1.0" encoding="utf-8"?>
<styleSheet xmlns="http://schemas.openxmlformats.org/spreadsheetml/2006/main">
  <numFmts count="4">
    <numFmt numFmtId="164" formatCode="#,##0.0"/>
    <numFmt numFmtId="165" formatCode="€ #,##0.00"/>
    <numFmt numFmtId="166" formatCode="yyyy-mm-dd"/>
    <numFmt numFmtId="167" formatCode="#,##0.00"/>
  </numFmts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DEEFF"/>
        <bgColor indexed="64"/>
      </patternFill>
    </fill>
    <fill>
      <patternFill patternType="solid">
        <fgColor rgb="FFE8DD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3" borderId="1" xfId="0" applyFont="1" applyFill="1" applyBorder="1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top" wrapText="1"/>
    </xf>
    <xf numFmtId="166" fontId="0" fillId="0" borderId="1" xfId="0" applyNumberFormat="1" applyBorder="1" applyAlignment="1">
      <alignment horizontal="center"/>
    </xf>
    <xf numFmtId="167" fontId="0" fillId="0" borderId="1" xfId="0" applyNumberFormat="1" applyBorder="1" applyAlignment="1">
      <alignment horizontal="right" vertical="center"/>
    </xf>
    <xf numFmtId="0" fontId="4" fillId="0" borderId="0" xfId="0" applyFont="1"/>
  </cellXfs>
  <cellStyles count="1">
    <cellStyle name="Normal" xfId="0" builtinId="0"/>
  </cellStyles>
  <dxfs count="6">
    <dxf>
      <fill>
        <patternFill>
          <bgColor rgb="FFD4F4DD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E5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7E8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777777"/>
      </font>
      <fill>
        <patternFill>
          <bgColor rgb="FFE0E0E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</font>
      <fill>
        <patternFill>
          <bgColor rgb="FFFFD1D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FD1D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Courses par statut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Courses par statut</c:v>
          </c:tx>
          <c:cat>
            <c:strRef>
              <c:f>'Tableau de Bord'!$A$12:$A$15</c:f>
              <c:strCache>
                <c:ptCount val="4"/>
                <c:pt idx="0">
                  <c:v>Ouvert</c:v>
                </c:pt>
                <c:pt idx="1">
                  <c:v>À confirmer</c:v>
                </c:pt>
                <c:pt idx="2">
                  <c:v>Complet</c:v>
                </c:pt>
                <c:pt idx="3">
                  <c:v>Annulé</c:v>
                </c:pt>
              </c:strCache>
            </c:strRef>
          </c:cat>
          <c:val>
            <c:numRef>
              <c:f>'Tableau de Bord'!$B$12:$B$15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Statut</a:t>
                </a:r>
              </a:p>
            </c:rich>
          </c:tx>
          <c:layout/>
        </c:title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Nombre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Top conducteurs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Courses par conducteur</c:v>
          </c:tx>
          <c:cat>
            <c:numRef>
              <c:f>'Tableau de Bord'!$A$20:$A$25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cat>
          <c:val>
            <c:numRef>
              <c:f>'Tableau de Bord'!$B$20:$B$25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Conducteur</a:t>
                </a:r>
              </a:p>
            </c:rich>
          </c:tx>
          <c:layout/>
        </c:title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Courses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95250</xdr:colOff>
      <xdr:row>10</xdr:row>
      <xdr:rowOff>95250</xdr:rowOff>
    </xdr:from>
    <xdr:to>
      <xdr:col>9</xdr:col>
      <xdr:colOff>561975</xdr:colOff>
      <xdr:row>26</xdr:row>
      <xdr:rowOff>66675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95250</xdr:colOff>
      <xdr:row>17</xdr:row>
      <xdr:rowOff>95250</xdr:rowOff>
    </xdr:from>
    <xdr:to>
      <xdr:col>9</xdr:col>
      <xdr:colOff>561975</xdr:colOff>
      <xdr:row>33</xdr:row>
      <xdr:rowOff>66675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ParticipantsTable" displayName="ParticipantsTable" ref="A1:I101" totalsRowShown="0">
  <autoFilter ref="A1:I101"/>
  <tableColumns count="9">
    <tableColumn id="1" name="Participant ID"/>
    <tableColumn id="2" name="Nom &amp; Prénom"/>
    <tableColumn id="3" name="Téléphone"/>
    <tableColumn id="4" name="Email"/>
    <tableColumn id="5" name="Ville"/>
    <tableColumn id="6" name="Véhicule"/>
    <tableColumn id="7" name="Capacité passagers"/>
    <tableColumn id="8" name="Conducteur (Oui/Non)"/>
    <tableColumn id="9" name="Jours préférés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id="2" name="TrajetsTable" displayName="TrajetsTable" ref="A1:F101" totalsRowShown="0">
  <autoFilter ref="A1:F101"/>
  <tableColumns count="6">
    <tableColumn id="1" name="Trajet ID"/>
    <tableColumn id="2" name="Départ"/>
    <tableColumn id="3" name="Destination"/>
    <tableColumn id="4" name="Distance (km)"/>
    <tableColumn id="5" name="Péages (€)"/>
    <tableColumn id="6" name="Notes"/>
  </tableColumns>
  <tableStyleInfo name="TableStyleLight13" showFirstColumn="0" showLastColumn="0" showRowStripes="1" showColumnStripes="0"/>
</table>
</file>

<file path=xl/tables/table3.xml><?xml version="1.0" encoding="utf-8"?>
<table xmlns="http://schemas.openxmlformats.org/spreadsheetml/2006/main" id="3" name="PlanningTable" displayName="PlanningTable" ref="A1:N101" totalsRowShown="0">
  <autoFilter ref="A1:N101"/>
  <tableColumns count="14">
    <tableColumn id="1" name="ID"/>
    <tableColumn id="2" name="Date"/>
    <tableColumn id="3" name="Créneau"/>
    <tableColumn id="4" name="Trajet ID"/>
    <tableColumn id="5" name="Départ"/>
    <tableColumn id="6" name="Destination"/>
    <tableColumn id="7" name="Distance (km)"/>
    <tableColumn id="8" name="Conducteur"/>
    <tableColumn id="9" name="Places passagers"/>
    <tableColumn id="10" name="Nb passagers"/>
    <tableColumn id="11" name="Places restantes"/>
    <tableColumn id="12" name="Statut"/>
    <tableColumn id="13" name="Coût Trajet (€)"/>
    <tableColumn id="14" name="CO₂ économisée (kg)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id="4" name="InscriptionsTable" displayName="InscriptionsTable" ref="A1:D501" totalsRowShown="0">
  <autoFilter ref="A1:D501"/>
  <tableColumns count="4">
    <tableColumn id="1" name="Course ID"/>
    <tableColumn id="2" name="Passager"/>
    <tableColumn id="3" name="Valide (Oui/Non)"/>
    <tableColumn id="4" name="Contribution (€)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>
      <pane ySplit="7" topLeftCell="A8" activePane="bottomLeft" state="frozen"/>
      <selection pane="bottomLeft"/>
    </sheetView>
  </sheetViews>
  <sheetFormatPr defaultRowHeight="15"/>
  <cols>
    <col min="1" max="1" width="38.7109375" customWidth="1"/>
    <col min="2" max="2" width="28.7109375" customWidth="1"/>
  </cols>
  <sheetData>
    <row r="1" spans="1:2">
      <c r="A1" s="1" t="s">
        <v>0</v>
      </c>
      <c r="B1">
        <v>0.3</v>
      </c>
    </row>
    <row r="2" spans="1:2">
      <c r="A2" s="1" t="s">
        <v>1</v>
      </c>
      <c r="B2">
        <v>120</v>
      </c>
    </row>
    <row r="3" spans="1:2">
      <c r="A3" s="1" t="s">
        <v>2</v>
      </c>
      <c r="B3" t="s">
        <v>3</v>
      </c>
    </row>
    <row r="4" spans="1:2">
      <c r="A4" s="1" t="s">
        <v>4</v>
      </c>
      <c r="B4" t="s">
        <v>5</v>
      </c>
    </row>
    <row r="6" spans="1:2">
      <c r="A6" s="2" t="s">
        <v>6</v>
      </c>
    </row>
    <row r="7" spans="1:2">
      <c r="A7" s="3" t="s">
        <v>7</v>
      </c>
    </row>
    <row r="8" spans="1:2">
      <c r="B8" s="4" t="s">
        <v>8</v>
      </c>
    </row>
    <row r="9" spans="1:2">
      <c r="B9" s="4" t="s">
        <v>9</v>
      </c>
    </row>
    <row r="10" spans="1:2">
      <c r="B10" s="4" t="s">
        <v>10</v>
      </c>
    </row>
    <row r="11" spans="1:2">
      <c r="B11" s="4" t="s">
        <v>11</v>
      </c>
    </row>
    <row r="12" spans="1:2">
      <c r="A12" s="3" t="s">
        <v>12</v>
      </c>
    </row>
    <row r="13" spans="1:2">
      <c r="B13" s="4" t="s">
        <v>13</v>
      </c>
    </row>
    <row r="14" spans="1:2">
      <c r="B14" s="4" t="s">
        <v>14</v>
      </c>
    </row>
    <row r="15" spans="1:2">
      <c r="B15" s="4" t="s">
        <v>15</v>
      </c>
    </row>
    <row r="16" spans="1:2">
      <c r="A16" s="5" t="s">
        <v>245</v>
      </c>
      <c r="B16" s="5"/>
    </row>
  </sheetData>
  <mergeCells count="1">
    <mergeCell ref="A16:B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4.7109375" customWidth="1"/>
    <col min="2" max="2" width="26.7109375" customWidth="1"/>
    <col min="3" max="4" width="22.7109375" customWidth="1"/>
    <col min="5" max="5" width="18.7109375" customWidth="1"/>
    <col min="6" max="8" width="20.7109375" customWidth="1"/>
    <col min="9" max="9" width="26.7109375" customWidth="1"/>
  </cols>
  <sheetData>
    <row r="1" spans="1:9">
      <c r="A1" t="s">
        <v>16</v>
      </c>
      <c r="B1" t="s">
        <v>17</v>
      </c>
      <c r="C1" t="s">
        <v>18</v>
      </c>
      <c r="D1" t="s">
        <v>19</v>
      </c>
      <c r="E1" t="s">
        <v>20</v>
      </c>
      <c r="F1" t="s">
        <v>21</v>
      </c>
      <c r="G1" t="s">
        <v>22</v>
      </c>
      <c r="H1" t="s">
        <v>23</v>
      </c>
      <c r="I1" t="s">
        <v>24</v>
      </c>
    </row>
    <row r="2" spans="1:9">
      <c r="A2" s="6" t="s">
        <v>25</v>
      </c>
      <c r="B2" s="4" t="s">
        <v>26</v>
      </c>
      <c r="C2" s="4" t="s">
        <v>27</v>
      </c>
      <c r="D2" s="4" t="s">
        <v>28</v>
      </c>
      <c r="E2" s="4" t="s">
        <v>29</v>
      </c>
      <c r="F2" s="4" t="s">
        <v>30</v>
      </c>
      <c r="G2" s="6">
        <v>3</v>
      </c>
      <c r="H2" s="6" t="s">
        <v>3</v>
      </c>
      <c r="I2" s="4" t="s">
        <v>31</v>
      </c>
    </row>
    <row r="3" spans="1:9">
      <c r="A3" s="6" t="s">
        <v>32</v>
      </c>
      <c r="B3" s="4" t="s">
        <v>33</v>
      </c>
      <c r="C3" s="4" t="s">
        <v>34</v>
      </c>
      <c r="D3" s="4" t="s">
        <v>35</v>
      </c>
      <c r="E3" s="4" t="s">
        <v>36</v>
      </c>
      <c r="F3" s="4" t="s">
        <v>37</v>
      </c>
      <c r="G3" s="6">
        <v>2</v>
      </c>
      <c r="H3" s="6" t="s">
        <v>3</v>
      </c>
      <c r="I3" s="4" t="s">
        <v>38</v>
      </c>
    </row>
    <row r="4" spans="1:9">
      <c r="A4" s="6" t="s">
        <v>39</v>
      </c>
      <c r="B4" s="4" t="s">
        <v>40</v>
      </c>
      <c r="C4" s="4" t="s">
        <v>41</v>
      </c>
      <c r="D4" s="4" t="s">
        <v>42</v>
      </c>
      <c r="E4" s="4" t="s">
        <v>43</v>
      </c>
      <c r="F4" s="4" t="s">
        <v>44</v>
      </c>
      <c r="G4" s="6">
        <v>0</v>
      </c>
      <c r="H4" s="6" t="s">
        <v>45</v>
      </c>
      <c r="I4" s="4" t="s">
        <v>46</v>
      </c>
    </row>
    <row r="5" spans="1:9">
      <c r="A5" s="6" t="s">
        <v>47</v>
      </c>
      <c r="B5" s="4" t="s">
        <v>48</v>
      </c>
      <c r="C5" s="4" t="s">
        <v>49</v>
      </c>
      <c r="D5" s="4" t="s">
        <v>50</v>
      </c>
      <c r="E5" s="4" t="s">
        <v>51</v>
      </c>
      <c r="F5" s="4" t="s">
        <v>52</v>
      </c>
      <c r="G5" s="6">
        <v>3</v>
      </c>
      <c r="H5" s="6" t="s">
        <v>3</v>
      </c>
      <c r="I5" s="4" t="s">
        <v>53</v>
      </c>
    </row>
    <row r="6" spans="1:9">
      <c r="A6" s="6" t="s">
        <v>54</v>
      </c>
      <c r="B6" s="4" t="s">
        <v>55</v>
      </c>
      <c r="C6" s="4" t="s">
        <v>56</v>
      </c>
      <c r="D6" s="4" t="s">
        <v>57</v>
      </c>
      <c r="E6" s="4" t="s">
        <v>58</v>
      </c>
      <c r="F6" s="4" t="s">
        <v>44</v>
      </c>
      <c r="G6" s="6">
        <v>0</v>
      </c>
      <c r="H6" s="6" t="s">
        <v>45</v>
      </c>
      <c r="I6" s="4" t="s">
        <v>38</v>
      </c>
    </row>
    <row r="7" spans="1:9">
      <c r="A7" s="6" t="s">
        <v>59</v>
      </c>
      <c r="B7" s="4" t="s">
        <v>60</v>
      </c>
      <c r="C7" s="4" t="s">
        <v>61</v>
      </c>
      <c r="D7" s="4" t="s">
        <v>62</v>
      </c>
      <c r="E7" s="4" t="s">
        <v>63</v>
      </c>
      <c r="F7" s="4" t="s">
        <v>64</v>
      </c>
      <c r="G7" s="6">
        <v>2</v>
      </c>
      <c r="H7" s="6" t="s">
        <v>3</v>
      </c>
      <c r="I7" s="4" t="s">
        <v>65</v>
      </c>
    </row>
  </sheetData>
  <dataValidations count="1">
    <dataValidation type="list" allowBlank="1" showInputMessage="1" showErrorMessage="1" sqref="H2:H201">
      <formula1>"Oui,Non"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F6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3" width="20.7109375" customWidth="1"/>
    <col min="4" max="4" width="14.7109375" customWidth="1"/>
    <col min="5" max="5" width="16.7109375" customWidth="1"/>
    <col min="6" max="6" width="28.7109375" customWidth="1"/>
  </cols>
  <sheetData>
    <row r="1" spans="1:6">
      <c r="A1" t="s">
        <v>66</v>
      </c>
      <c r="B1" t="s">
        <v>67</v>
      </c>
      <c r="C1" t="s">
        <v>68</v>
      </c>
      <c r="D1" t="s">
        <v>69</v>
      </c>
      <c r="E1" t="s">
        <v>70</v>
      </c>
      <c r="F1" t="s">
        <v>71</v>
      </c>
    </row>
    <row r="2" spans="1:6">
      <c r="A2" s="6" t="s">
        <v>72</v>
      </c>
      <c r="B2" s="4" t="s">
        <v>29</v>
      </c>
      <c r="C2" s="4" t="s">
        <v>36</v>
      </c>
      <c r="D2" s="7">
        <v>465</v>
      </c>
      <c r="E2" s="8">
        <v>35</v>
      </c>
      <c r="F2" s="9" t="s">
        <v>73</v>
      </c>
    </row>
    <row r="3" spans="1:6">
      <c r="A3" s="6" t="s">
        <v>74</v>
      </c>
      <c r="B3" s="4" t="s">
        <v>36</v>
      </c>
      <c r="C3" s="4" t="s">
        <v>63</v>
      </c>
      <c r="D3" s="7">
        <v>112</v>
      </c>
      <c r="E3" s="8">
        <v>10</v>
      </c>
      <c r="F3" s="9" t="s">
        <v>75</v>
      </c>
    </row>
    <row r="4" spans="1:6">
      <c r="A4" s="6" t="s">
        <v>76</v>
      </c>
      <c r="B4" s="4" t="s">
        <v>43</v>
      </c>
      <c r="C4" s="4" t="s">
        <v>29</v>
      </c>
      <c r="D4" s="7">
        <v>225</v>
      </c>
      <c r="E4" s="8">
        <v>18</v>
      </c>
      <c r="F4" s="9" t="s">
        <v>77</v>
      </c>
    </row>
    <row r="5" spans="1:6">
      <c r="A5" s="6" t="s">
        <v>78</v>
      </c>
      <c r="B5" s="4" t="s">
        <v>79</v>
      </c>
      <c r="C5" s="4" t="s">
        <v>51</v>
      </c>
      <c r="D5" s="7">
        <v>110</v>
      </c>
      <c r="E5" s="8">
        <v>0</v>
      </c>
      <c r="F5" s="9" t="s">
        <v>80</v>
      </c>
    </row>
    <row r="6" spans="1:6">
      <c r="A6" s="6" t="s">
        <v>81</v>
      </c>
      <c r="B6" s="4" t="s">
        <v>82</v>
      </c>
      <c r="C6" s="4" t="s">
        <v>58</v>
      </c>
      <c r="D6" s="7">
        <v>245</v>
      </c>
      <c r="E6" s="8">
        <v>20</v>
      </c>
      <c r="F6" s="9" t="s">
        <v>83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N1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2.7109375" customWidth="1"/>
    <col min="2" max="2" width="14.7109375" customWidth="1"/>
    <col min="3" max="4" width="12.7109375" customWidth="1"/>
    <col min="5" max="6" width="18.7109375" customWidth="1"/>
    <col min="7" max="7" width="14.7109375" customWidth="1"/>
    <col min="8" max="8" width="22.7109375" customWidth="1"/>
    <col min="9" max="9" width="18.7109375" customWidth="1"/>
    <col min="10" max="10" width="14.7109375" customWidth="1"/>
    <col min="11" max="11" width="16.7109375" customWidth="1"/>
    <col min="12" max="12" width="14.7109375" customWidth="1"/>
    <col min="13" max="14" width="18.7109375" customWidth="1"/>
  </cols>
  <sheetData>
    <row r="1" spans="1:14">
      <c r="A1" t="s">
        <v>84</v>
      </c>
      <c r="B1" t="s">
        <v>85</v>
      </c>
      <c r="C1" t="s">
        <v>86</v>
      </c>
      <c r="D1" t="s">
        <v>66</v>
      </c>
      <c r="E1" t="s">
        <v>67</v>
      </c>
      <c r="F1" t="s">
        <v>68</v>
      </c>
      <c r="G1" t="s">
        <v>69</v>
      </c>
      <c r="H1" t="s">
        <v>87</v>
      </c>
      <c r="I1" t="s">
        <v>88</v>
      </c>
      <c r="J1" t="s">
        <v>89</v>
      </c>
      <c r="K1" t="s">
        <v>90</v>
      </c>
      <c r="L1" t="s">
        <v>91</v>
      </c>
      <c r="M1" t="s">
        <v>92</v>
      </c>
      <c r="N1" t="s">
        <v>93</v>
      </c>
    </row>
    <row r="2" spans="1:14">
      <c r="A2" s="6" t="s">
        <v>94</v>
      </c>
      <c r="B2" s="10">
        <v>45950</v>
      </c>
      <c r="C2" s="6" t="s">
        <v>13</v>
      </c>
      <c r="D2" s="6" t="s">
        <v>72</v>
      </c>
      <c r="E2" s="4">
        <f>IFERROR(VLOOKUP($D2,TrajetsTable[[Trajet ID]:[Notes]],2,FALSE),"")</f>
        <v>0</v>
      </c>
      <c r="F2" s="4">
        <f>IFERROR(VLOOKUP($D2,TrajetsTable[[Trajet ID]:[Notes]],3,FALSE),"")</f>
        <v>0</v>
      </c>
      <c r="G2" s="7">
        <f>IFERROR(VLOOKUP($D2,TrajetsTable[[Trajet ID]:[Notes]],4,FALSE),0)</f>
        <v>0</v>
      </c>
      <c r="H2" s="4" t="s">
        <v>26</v>
      </c>
      <c r="I2" s="6">
        <v>3</v>
      </c>
      <c r="J2" s="6">
        <f>IFERROR(COUNTIF(InscriptionsTable[Course ID],[@ID]),0)</f>
        <v>0</v>
      </c>
      <c r="K2" s="6">
        <f>[@[Places passagers]]-[@[Nb passagers]]</f>
        <v>0</v>
      </c>
      <c r="L2" s="6" t="s">
        <v>8</v>
      </c>
      <c r="M2" s="8">
        <f>IFERROR([@[Distance (km)]]*CoutKm + VLOOKUP($D2,TrajetsTable[[Trajet ID]:[Notes]],5,FALSE),0)</f>
        <v>0</v>
      </c>
      <c r="N2" s="11">
        <f>[@[Nb passagers]]*[@[Distance (km)]]*CO2gkm/1000</f>
        <v>0</v>
      </c>
    </row>
    <row r="3" spans="1:14">
      <c r="A3" s="6" t="s">
        <v>95</v>
      </c>
      <c r="B3" s="10">
        <v>45950</v>
      </c>
      <c r="C3" s="6" t="s">
        <v>15</v>
      </c>
      <c r="D3" s="6" t="s">
        <v>81</v>
      </c>
      <c r="E3" s="4">
        <f>IFERROR(VLOOKUP($D3,TrajetsTable[[Trajet ID]:[Notes]],2,FALSE),"")</f>
        <v>0</v>
      </c>
      <c r="F3" s="4">
        <f>IFERROR(VLOOKUP($D3,TrajetsTable[[Trajet ID]:[Notes]],3,FALSE),"")</f>
        <v>0</v>
      </c>
      <c r="G3" s="7">
        <f>IFERROR(VLOOKUP($D3,TrajetsTable[[Trajet ID]:[Notes]],4,FALSE),0)</f>
        <v>0</v>
      </c>
      <c r="H3" s="4" t="s">
        <v>33</v>
      </c>
      <c r="I3" s="6">
        <v>2</v>
      </c>
      <c r="J3" s="6">
        <f>IFERROR(COUNTIF(InscriptionsTable[Course ID],[@ID]),0)</f>
        <v>0</v>
      </c>
      <c r="K3" s="6">
        <f>[@[Places passagers]]-[@[Nb passagers]]</f>
        <v>0</v>
      </c>
      <c r="L3" s="6" t="s">
        <v>9</v>
      </c>
      <c r="M3" s="8">
        <f>IFERROR([@[Distance (km)]]*CoutKm + VLOOKUP($D3,TrajetsTable[[Trajet ID]:[Notes]],5,FALSE),0)</f>
        <v>0</v>
      </c>
      <c r="N3" s="11">
        <f>[@[Nb passagers]]*[@[Distance (km)]]*CO2gkm/1000</f>
        <v>0</v>
      </c>
    </row>
    <row r="4" spans="1:14">
      <c r="A4" s="6" t="s">
        <v>96</v>
      </c>
      <c r="B4" s="10">
        <v>45951</v>
      </c>
      <c r="C4" s="6" t="s">
        <v>13</v>
      </c>
      <c r="D4" s="6" t="s">
        <v>76</v>
      </c>
      <c r="E4" s="4">
        <f>IFERROR(VLOOKUP($D4,TrajetsTable[[Trajet ID]:[Notes]],2,FALSE),"")</f>
        <v>0</v>
      </c>
      <c r="F4" s="4">
        <f>IFERROR(VLOOKUP($D4,TrajetsTable[[Trajet ID]:[Notes]],3,FALSE),"")</f>
        <v>0</v>
      </c>
      <c r="G4" s="7">
        <f>IFERROR(VLOOKUP($D4,TrajetsTable[[Trajet ID]:[Notes]],4,FALSE),0)</f>
        <v>0</v>
      </c>
      <c r="H4" s="4" t="s">
        <v>48</v>
      </c>
      <c r="I4" s="6">
        <v>2</v>
      </c>
      <c r="J4" s="6">
        <f>IFERROR(COUNTIF(InscriptionsTable[Course ID],[@ID]),0)</f>
        <v>0</v>
      </c>
      <c r="K4" s="6">
        <f>[@[Places passagers]]-[@[Nb passagers]]</f>
        <v>0</v>
      </c>
      <c r="L4" s="6" t="s">
        <v>8</v>
      </c>
      <c r="M4" s="8">
        <f>IFERROR([@[Distance (km)]]*CoutKm + VLOOKUP($D4,TrajetsTable[[Trajet ID]:[Notes]],5,FALSE),0)</f>
        <v>0</v>
      </c>
      <c r="N4" s="11">
        <f>[@[Nb passagers]]*[@[Distance (km)]]*CO2gkm/1000</f>
        <v>0</v>
      </c>
    </row>
    <row r="5" spans="1:14">
      <c r="A5" s="6" t="s">
        <v>97</v>
      </c>
      <c r="B5" s="10">
        <v>45951</v>
      </c>
      <c r="C5" s="6" t="s">
        <v>15</v>
      </c>
      <c r="D5" s="6" t="s">
        <v>78</v>
      </c>
      <c r="E5" s="4">
        <f>IFERROR(VLOOKUP($D5,TrajetsTable[[Trajet ID]:[Notes]],2,FALSE),"")</f>
        <v>0</v>
      </c>
      <c r="F5" s="4">
        <f>IFERROR(VLOOKUP($D5,TrajetsTable[[Trajet ID]:[Notes]],3,FALSE),"")</f>
        <v>0</v>
      </c>
      <c r="G5" s="7">
        <f>IFERROR(VLOOKUP($D5,TrajetsTable[[Trajet ID]:[Notes]],4,FALSE),0)</f>
        <v>0</v>
      </c>
      <c r="H5" s="4" t="s">
        <v>60</v>
      </c>
      <c r="I5" s="6">
        <v>2</v>
      </c>
      <c r="J5" s="6">
        <f>IFERROR(COUNTIF(InscriptionsTable[Course ID],[@ID]),0)</f>
        <v>0</v>
      </c>
      <c r="K5" s="6">
        <f>[@[Places passagers]]-[@[Nb passagers]]</f>
        <v>0</v>
      </c>
      <c r="L5" s="6" t="s">
        <v>10</v>
      </c>
      <c r="M5" s="8">
        <f>IFERROR([@[Distance (km)]]*CoutKm + VLOOKUP($D5,TrajetsTable[[Trajet ID]:[Notes]],5,FALSE),0)</f>
        <v>0</v>
      </c>
      <c r="N5" s="11">
        <f>[@[Nb passagers]]*[@[Distance (km)]]*CO2gkm/1000</f>
        <v>0</v>
      </c>
    </row>
    <row r="6" spans="1:14">
      <c r="A6" s="6" t="s">
        <v>98</v>
      </c>
      <c r="B6" s="10">
        <v>45952</v>
      </c>
      <c r="C6" s="6" t="s">
        <v>13</v>
      </c>
      <c r="D6" s="6" t="s">
        <v>74</v>
      </c>
      <c r="E6" s="4">
        <f>IFERROR(VLOOKUP($D6,TrajetsTable[[Trajet ID]:[Notes]],2,FALSE),"")</f>
        <v>0</v>
      </c>
      <c r="F6" s="4">
        <f>IFERROR(VLOOKUP($D6,TrajetsTable[[Trajet ID]:[Notes]],3,FALSE),"")</f>
        <v>0</v>
      </c>
      <c r="G6" s="7">
        <f>IFERROR(VLOOKUP($D6,TrajetsTable[[Trajet ID]:[Notes]],4,FALSE),0)</f>
        <v>0</v>
      </c>
      <c r="H6" s="4" t="s">
        <v>26</v>
      </c>
      <c r="I6" s="6">
        <v>3</v>
      </c>
      <c r="J6" s="6">
        <f>IFERROR(COUNTIF(InscriptionsTable[Course ID],[@ID]),0)</f>
        <v>0</v>
      </c>
      <c r="K6" s="6">
        <f>[@[Places passagers]]-[@[Nb passagers]]</f>
        <v>0</v>
      </c>
      <c r="L6" s="6" t="s">
        <v>8</v>
      </c>
      <c r="M6" s="8">
        <f>IFERROR([@[Distance (km)]]*CoutKm + VLOOKUP($D6,TrajetsTable[[Trajet ID]:[Notes]],5,FALSE),0)</f>
        <v>0</v>
      </c>
      <c r="N6" s="11">
        <f>[@[Nb passagers]]*[@[Distance (km)]]*CO2gkm/1000</f>
        <v>0</v>
      </c>
    </row>
    <row r="7" spans="1:14">
      <c r="A7" s="6" t="s">
        <v>99</v>
      </c>
      <c r="B7" s="10">
        <v>45952</v>
      </c>
      <c r="C7" s="6" t="s">
        <v>15</v>
      </c>
      <c r="D7" s="6" t="s">
        <v>72</v>
      </c>
      <c r="E7" s="4">
        <f>IFERROR(VLOOKUP($D7,TrajetsTable[[Trajet ID]:[Notes]],2,FALSE),"")</f>
        <v>0</v>
      </c>
      <c r="F7" s="4">
        <f>IFERROR(VLOOKUP($D7,TrajetsTable[[Trajet ID]:[Notes]],3,FALSE),"")</f>
        <v>0</v>
      </c>
      <c r="G7" s="7">
        <f>IFERROR(VLOOKUP($D7,TrajetsTable[[Trajet ID]:[Notes]],4,FALSE),0)</f>
        <v>0</v>
      </c>
      <c r="H7" s="4" t="s">
        <v>33</v>
      </c>
      <c r="I7" s="6">
        <v>2</v>
      </c>
      <c r="J7" s="6">
        <f>IFERROR(COUNTIF(InscriptionsTable[Course ID],[@ID]),0)</f>
        <v>0</v>
      </c>
      <c r="K7" s="6">
        <f>[@[Places passagers]]-[@[Nb passagers]]</f>
        <v>0</v>
      </c>
      <c r="L7" s="6" t="s">
        <v>8</v>
      </c>
      <c r="M7" s="8">
        <f>IFERROR([@[Distance (km)]]*CoutKm + VLOOKUP($D7,TrajetsTable[[Trajet ID]:[Notes]],5,FALSE),0)</f>
        <v>0</v>
      </c>
      <c r="N7" s="11">
        <f>[@[Nb passagers]]*[@[Distance (km)]]*CO2gkm/1000</f>
        <v>0</v>
      </c>
    </row>
    <row r="8" spans="1:14">
      <c r="A8" s="6" t="s">
        <v>100</v>
      </c>
      <c r="B8" s="10">
        <v>45953</v>
      </c>
      <c r="C8" s="6" t="s">
        <v>13</v>
      </c>
      <c r="D8" s="6" t="s">
        <v>78</v>
      </c>
      <c r="E8" s="4">
        <f>IFERROR(VLOOKUP($D8,TrajetsTable[[Trajet ID]:[Notes]],2,FALSE),"")</f>
        <v>0</v>
      </c>
      <c r="F8" s="4">
        <f>IFERROR(VLOOKUP($D8,TrajetsTable[[Trajet ID]:[Notes]],3,FALSE),"")</f>
        <v>0</v>
      </c>
      <c r="G8" s="7">
        <f>IFERROR(VLOOKUP($D8,TrajetsTable[[Trajet ID]:[Notes]],4,FALSE),0)</f>
        <v>0</v>
      </c>
      <c r="H8" s="4" t="s">
        <v>48</v>
      </c>
      <c r="I8" s="6">
        <v>2</v>
      </c>
      <c r="J8" s="6">
        <f>IFERROR(COUNTIF(InscriptionsTable[Course ID],[@ID]),0)</f>
        <v>0</v>
      </c>
      <c r="K8" s="6">
        <f>[@[Places passagers]]-[@[Nb passagers]]</f>
        <v>0</v>
      </c>
      <c r="L8" s="6" t="s">
        <v>11</v>
      </c>
      <c r="M8" s="8">
        <f>IFERROR([@[Distance (km)]]*CoutKm + VLOOKUP($D8,TrajetsTable[[Trajet ID]:[Notes]],5,FALSE),0)</f>
        <v>0</v>
      </c>
      <c r="N8" s="11">
        <f>[@[Nb passagers]]*[@[Distance (km)]]*CO2gkm/1000</f>
        <v>0</v>
      </c>
    </row>
    <row r="9" spans="1:14">
      <c r="A9" s="6" t="s">
        <v>101</v>
      </c>
      <c r="B9" s="10">
        <v>45953</v>
      </c>
      <c r="C9" s="6" t="s">
        <v>15</v>
      </c>
      <c r="D9" s="6" t="s">
        <v>76</v>
      </c>
      <c r="E9" s="4">
        <f>IFERROR(VLOOKUP($D9,TrajetsTable[[Trajet ID]:[Notes]],2,FALSE),"")</f>
        <v>0</v>
      </c>
      <c r="F9" s="4">
        <f>IFERROR(VLOOKUP($D9,TrajetsTable[[Trajet ID]:[Notes]],3,FALSE),"")</f>
        <v>0</v>
      </c>
      <c r="G9" s="7">
        <f>IFERROR(VLOOKUP($D9,TrajetsTable[[Trajet ID]:[Notes]],4,FALSE),0)</f>
        <v>0</v>
      </c>
      <c r="H9" s="4" t="s">
        <v>60</v>
      </c>
      <c r="I9" s="6">
        <v>2</v>
      </c>
      <c r="J9" s="6">
        <f>IFERROR(COUNTIF(InscriptionsTable[Course ID],[@ID]),0)</f>
        <v>0</v>
      </c>
      <c r="K9" s="6">
        <f>[@[Places passagers]]-[@[Nb passagers]]</f>
        <v>0</v>
      </c>
      <c r="L9" s="6" t="s">
        <v>8</v>
      </c>
      <c r="M9" s="8">
        <f>IFERROR([@[Distance (km)]]*CoutKm + VLOOKUP($D9,TrajetsTable[[Trajet ID]:[Notes]],5,FALSE),0)</f>
        <v>0</v>
      </c>
      <c r="N9" s="11">
        <f>[@[Nb passagers]]*[@[Distance (km)]]*CO2gkm/1000</f>
        <v>0</v>
      </c>
    </row>
    <row r="10" spans="1:14">
      <c r="A10" s="6" t="s">
        <v>102</v>
      </c>
      <c r="B10" s="10">
        <v>45954</v>
      </c>
      <c r="C10" s="6" t="s">
        <v>13</v>
      </c>
      <c r="D10" s="6" t="s">
        <v>81</v>
      </c>
      <c r="E10" s="4">
        <f>IFERROR(VLOOKUP($D10,TrajetsTable[[Trajet ID]:[Notes]],2,FALSE),"")</f>
        <v>0</v>
      </c>
      <c r="F10" s="4">
        <f>IFERROR(VLOOKUP($D10,TrajetsTable[[Trajet ID]:[Notes]],3,FALSE),"")</f>
        <v>0</v>
      </c>
      <c r="G10" s="7">
        <f>IFERROR(VLOOKUP($D10,TrajetsTable[[Trajet ID]:[Notes]],4,FALSE),0)</f>
        <v>0</v>
      </c>
      <c r="H10" s="4" t="s">
        <v>26</v>
      </c>
      <c r="I10" s="6">
        <v>3</v>
      </c>
      <c r="J10" s="6">
        <f>IFERROR(COUNTIF(InscriptionsTable[Course ID],[@ID]),0)</f>
        <v>0</v>
      </c>
      <c r="K10" s="6">
        <f>[@[Places passagers]]-[@[Nb passagers]]</f>
        <v>0</v>
      </c>
      <c r="L10" s="6" t="s">
        <v>10</v>
      </c>
      <c r="M10" s="8">
        <f>IFERROR([@[Distance (km)]]*CoutKm + VLOOKUP($D10,TrajetsTable[[Trajet ID]:[Notes]],5,FALSE),0)</f>
        <v>0</v>
      </c>
      <c r="N10" s="11">
        <f>[@[Nb passagers]]*[@[Distance (km)]]*CO2gkm/1000</f>
        <v>0</v>
      </c>
    </row>
    <row r="11" spans="1:14">
      <c r="A11" s="6" t="s">
        <v>103</v>
      </c>
      <c r="B11" s="10">
        <v>45954</v>
      </c>
      <c r="C11" s="6" t="s">
        <v>15</v>
      </c>
      <c r="D11" s="6" t="s">
        <v>74</v>
      </c>
      <c r="E11" s="4">
        <f>IFERROR(VLOOKUP($D11,TrajetsTable[[Trajet ID]:[Notes]],2,FALSE),"")</f>
        <v>0</v>
      </c>
      <c r="F11" s="4">
        <f>IFERROR(VLOOKUP($D11,TrajetsTable[[Trajet ID]:[Notes]],3,FALSE),"")</f>
        <v>0</v>
      </c>
      <c r="G11" s="7">
        <f>IFERROR(VLOOKUP($D11,TrajetsTable[[Trajet ID]:[Notes]],4,FALSE),0)</f>
        <v>0</v>
      </c>
      <c r="H11" s="4" t="s">
        <v>33</v>
      </c>
      <c r="I11" s="6">
        <v>2</v>
      </c>
      <c r="J11" s="6">
        <f>IFERROR(COUNTIF(InscriptionsTable[Course ID],[@ID]),0)</f>
        <v>0</v>
      </c>
      <c r="K11" s="6">
        <f>[@[Places passagers]]-[@[Nb passagers]]</f>
        <v>0</v>
      </c>
      <c r="L11" s="6" t="s">
        <v>8</v>
      </c>
      <c r="M11" s="8">
        <f>IFERROR([@[Distance (km)]]*CoutKm + VLOOKUP($D11,TrajetsTable[[Trajet ID]:[Notes]],5,FALSE),0)</f>
        <v>0</v>
      </c>
      <c r="N11" s="11">
        <f>[@[Nb passagers]]*[@[Distance (km)]]*CO2gkm/1000</f>
        <v>0</v>
      </c>
    </row>
    <row r="12" spans="1:14">
      <c r="A12" s="6" t="s">
        <v>104</v>
      </c>
      <c r="B12" s="6"/>
      <c r="E12" s="4">
        <f>IFERROR(VLOOKUP($D12,TrajetsTable[[Trajet ID]:[Notes]],2,FALSE),"")</f>
        <v>0</v>
      </c>
      <c r="F12" s="4">
        <f>IFERROR(VLOOKUP($D12,TrajetsTable[[Trajet ID]:[Notes]],3,FALSE),"")</f>
        <v>0</v>
      </c>
      <c r="G12" s="7">
        <f>IFERROR(VLOOKUP($D12,TrajetsTable[[Trajet ID]:[Notes]],4,FALSE),0)</f>
        <v>0</v>
      </c>
      <c r="I12" s="6">
        <v>2</v>
      </c>
      <c r="J12" s="6">
        <f>IFERROR(COUNTIF(InscriptionsTable[Course ID],[@ID]),0)</f>
        <v>0</v>
      </c>
      <c r="K12" s="6">
        <f>[@[Places passagers]]-[@[Nb passagers]]</f>
        <v>0</v>
      </c>
      <c r="M12" s="8">
        <f>IFERROR([@[Distance (km)]]*CoutKm + VLOOKUP($D12,TrajetsTable[[Trajet ID]:[Notes]],5,FALSE),0)</f>
        <v>0</v>
      </c>
      <c r="N12" s="11">
        <f>[@[Nb passagers]]*[@[Distance (km)]]*CO2gkm/1000</f>
        <v>0</v>
      </c>
    </row>
    <row r="13" spans="1:14">
      <c r="A13" s="6" t="s">
        <v>105</v>
      </c>
      <c r="B13" s="6"/>
      <c r="E13" s="4">
        <f>IFERROR(VLOOKUP($D13,TrajetsTable[[Trajet ID]:[Notes]],2,FALSE),"")</f>
        <v>0</v>
      </c>
      <c r="F13" s="4">
        <f>IFERROR(VLOOKUP($D13,TrajetsTable[[Trajet ID]:[Notes]],3,FALSE),"")</f>
        <v>0</v>
      </c>
      <c r="G13" s="7">
        <f>IFERROR(VLOOKUP($D13,TrajetsTable[[Trajet ID]:[Notes]],4,FALSE),0)</f>
        <v>0</v>
      </c>
      <c r="I13" s="6">
        <v>2</v>
      </c>
      <c r="J13" s="6">
        <f>IFERROR(COUNTIF(InscriptionsTable[Course ID],[@ID]),0)</f>
        <v>0</v>
      </c>
      <c r="K13" s="6">
        <f>[@[Places passagers]]-[@[Nb passagers]]</f>
        <v>0</v>
      </c>
      <c r="M13" s="8">
        <f>IFERROR([@[Distance (km)]]*CoutKm + VLOOKUP($D13,TrajetsTable[[Trajet ID]:[Notes]],5,FALSE),0)</f>
        <v>0</v>
      </c>
      <c r="N13" s="11">
        <f>[@[Nb passagers]]*[@[Distance (km)]]*CO2gkm/1000</f>
        <v>0</v>
      </c>
    </row>
    <row r="14" spans="1:14">
      <c r="A14" s="6" t="s">
        <v>106</v>
      </c>
      <c r="B14" s="6"/>
      <c r="E14" s="4">
        <f>IFERROR(VLOOKUP($D14,TrajetsTable[[Trajet ID]:[Notes]],2,FALSE),"")</f>
        <v>0</v>
      </c>
      <c r="F14" s="4">
        <f>IFERROR(VLOOKUP($D14,TrajetsTable[[Trajet ID]:[Notes]],3,FALSE),"")</f>
        <v>0</v>
      </c>
      <c r="G14" s="7">
        <f>IFERROR(VLOOKUP($D14,TrajetsTable[[Trajet ID]:[Notes]],4,FALSE),0)</f>
        <v>0</v>
      </c>
      <c r="I14" s="6">
        <v>2</v>
      </c>
      <c r="J14" s="6">
        <f>IFERROR(COUNTIF(InscriptionsTable[Course ID],[@ID]),0)</f>
        <v>0</v>
      </c>
      <c r="K14" s="6">
        <f>[@[Places passagers]]-[@[Nb passagers]]</f>
        <v>0</v>
      </c>
      <c r="M14" s="8">
        <f>IFERROR([@[Distance (km)]]*CoutKm + VLOOKUP($D14,TrajetsTable[[Trajet ID]:[Notes]],5,FALSE),0)</f>
        <v>0</v>
      </c>
      <c r="N14" s="11">
        <f>[@[Nb passagers]]*[@[Distance (km)]]*CO2gkm/1000</f>
        <v>0</v>
      </c>
    </row>
    <row r="15" spans="1:14">
      <c r="A15" s="6" t="s">
        <v>107</v>
      </c>
      <c r="B15" s="6"/>
      <c r="E15" s="4">
        <f>IFERROR(VLOOKUP($D15,TrajetsTable[[Trajet ID]:[Notes]],2,FALSE),"")</f>
        <v>0</v>
      </c>
      <c r="F15" s="4">
        <f>IFERROR(VLOOKUP($D15,TrajetsTable[[Trajet ID]:[Notes]],3,FALSE),"")</f>
        <v>0</v>
      </c>
      <c r="G15" s="7">
        <f>IFERROR(VLOOKUP($D15,TrajetsTable[[Trajet ID]:[Notes]],4,FALSE),0)</f>
        <v>0</v>
      </c>
      <c r="I15" s="6">
        <v>2</v>
      </c>
      <c r="J15" s="6">
        <f>IFERROR(COUNTIF(InscriptionsTable[Course ID],[@ID]),0)</f>
        <v>0</v>
      </c>
      <c r="K15" s="6">
        <f>[@[Places passagers]]-[@[Nb passagers]]</f>
        <v>0</v>
      </c>
      <c r="M15" s="8">
        <f>IFERROR([@[Distance (km)]]*CoutKm + VLOOKUP($D15,TrajetsTable[[Trajet ID]:[Notes]],5,FALSE),0)</f>
        <v>0</v>
      </c>
      <c r="N15" s="11">
        <f>[@[Nb passagers]]*[@[Distance (km)]]*CO2gkm/1000</f>
        <v>0</v>
      </c>
    </row>
    <row r="16" spans="1:14">
      <c r="A16" s="6" t="s">
        <v>108</v>
      </c>
      <c r="B16" s="6"/>
      <c r="E16" s="4">
        <f>IFERROR(VLOOKUP($D16,TrajetsTable[[Trajet ID]:[Notes]],2,FALSE),"")</f>
        <v>0</v>
      </c>
      <c r="F16" s="4">
        <f>IFERROR(VLOOKUP($D16,TrajetsTable[[Trajet ID]:[Notes]],3,FALSE),"")</f>
        <v>0</v>
      </c>
      <c r="G16" s="7">
        <f>IFERROR(VLOOKUP($D16,TrajetsTable[[Trajet ID]:[Notes]],4,FALSE),0)</f>
        <v>0</v>
      </c>
      <c r="I16" s="6">
        <v>2</v>
      </c>
      <c r="J16" s="6">
        <f>IFERROR(COUNTIF(InscriptionsTable[Course ID],[@ID]),0)</f>
        <v>0</v>
      </c>
      <c r="K16" s="6">
        <f>[@[Places passagers]]-[@[Nb passagers]]</f>
        <v>0</v>
      </c>
      <c r="M16" s="8">
        <f>IFERROR([@[Distance (km)]]*CoutKm + VLOOKUP($D16,TrajetsTable[[Trajet ID]:[Notes]],5,FALSE),0)</f>
        <v>0</v>
      </c>
      <c r="N16" s="11">
        <f>[@[Nb passagers]]*[@[Distance (km)]]*CO2gkm/1000</f>
        <v>0</v>
      </c>
    </row>
    <row r="17" spans="1:14">
      <c r="A17" s="6" t="s">
        <v>109</v>
      </c>
      <c r="B17" s="6"/>
      <c r="E17" s="4">
        <f>IFERROR(VLOOKUP($D17,TrajetsTable[[Trajet ID]:[Notes]],2,FALSE),"")</f>
        <v>0</v>
      </c>
      <c r="F17" s="4">
        <f>IFERROR(VLOOKUP($D17,TrajetsTable[[Trajet ID]:[Notes]],3,FALSE),"")</f>
        <v>0</v>
      </c>
      <c r="G17" s="7">
        <f>IFERROR(VLOOKUP($D17,TrajetsTable[[Trajet ID]:[Notes]],4,FALSE),0)</f>
        <v>0</v>
      </c>
      <c r="I17" s="6">
        <v>2</v>
      </c>
      <c r="J17" s="6">
        <f>IFERROR(COUNTIF(InscriptionsTable[Course ID],[@ID]),0)</f>
        <v>0</v>
      </c>
      <c r="K17" s="6">
        <f>[@[Places passagers]]-[@[Nb passagers]]</f>
        <v>0</v>
      </c>
      <c r="M17" s="8">
        <f>IFERROR([@[Distance (km)]]*CoutKm + VLOOKUP($D17,TrajetsTable[[Trajet ID]:[Notes]],5,FALSE),0)</f>
        <v>0</v>
      </c>
      <c r="N17" s="11">
        <f>[@[Nb passagers]]*[@[Distance (km)]]*CO2gkm/1000</f>
        <v>0</v>
      </c>
    </row>
    <row r="18" spans="1:14">
      <c r="A18" s="6" t="s">
        <v>110</v>
      </c>
      <c r="B18" s="6"/>
      <c r="E18" s="4">
        <f>IFERROR(VLOOKUP($D18,TrajetsTable[[Trajet ID]:[Notes]],2,FALSE),"")</f>
        <v>0</v>
      </c>
      <c r="F18" s="4">
        <f>IFERROR(VLOOKUP($D18,TrajetsTable[[Trajet ID]:[Notes]],3,FALSE),"")</f>
        <v>0</v>
      </c>
      <c r="G18" s="7">
        <f>IFERROR(VLOOKUP($D18,TrajetsTable[[Trajet ID]:[Notes]],4,FALSE),0)</f>
        <v>0</v>
      </c>
      <c r="I18" s="6">
        <v>2</v>
      </c>
      <c r="J18" s="6">
        <f>IFERROR(COUNTIF(InscriptionsTable[Course ID],[@ID]),0)</f>
        <v>0</v>
      </c>
      <c r="K18" s="6">
        <f>[@[Places passagers]]-[@[Nb passagers]]</f>
        <v>0</v>
      </c>
      <c r="M18" s="8">
        <f>IFERROR([@[Distance (km)]]*CoutKm + VLOOKUP($D18,TrajetsTable[[Trajet ID]:[Notes]],5,FALSE),0)</f>
        <v>0</v>
      </c>
      <c r="N18" s="11">
        <f>[@[Nb passagers]]*[@[Distance (km)]]*CO2gkm/1000</f>
        <v>0</v>
      </c>
    </row>
    <row r="19" spans="1:14">
      <c r="A19" s="6" t="s">
        <v>111</v>
      </c>
      <c r="B19" s="6"/>
      <c r="E19" s="4">
        <f>IFERROR(VLOOKUP($D19,TrajetsTable[[Trajet ID]:[Notes]],2,FALSE),"")</f>
        <v>0</v>
      </c>
      <c r="F19" s="4">
        <f>IFERROR(VLOOKUP($D19,TrajetsTable[[Trajet ID]:[Notes]],3,FALSE),"")</f>
        <v>0</v>
      </c>
      <c r="G19" s="7">
        <f>IFERROR(VLOOKUP($D19,TrajetsTable[[Trajet ID]:[Notes]],4,FALSE),0)</f>
        <v>0</v>
      </c>
      <c r="I19" s="6">
        <v>2</v>
      </c>
      <c r="J19" s="6">
        <f>IFERROR(COUNTIF(InscriptionsTable[Course ID],[@ID]),0)</f>
        <v>0</v>
      </c>
      <c r="K19" s="6">
        <f>[@[Places passagers]]-[@[Nb passagers]]</f>
        <v>0</v>
      </c>
      <c r="M19" s="8">
        <f>IFERROR([@[Distance (km)]]*CoutKm + VLOOKUP($D19,TrajetsTable[[Trajet ID]:[Notes]],5,FALSE),0)</f>
        <v>0</v>
      </c>
      <c r="N19" s="11">
        <f>[@[Nb passagers]]*[@[Distance (km)]]*CO2gkm/1000</f>
        <v>0</v>
      </c>
    </row>
    <row r="20" spans="1:14">
      <c r="A20" s="6" t="s">
        <v>112</v>
      </c>
      <c r="B20" s="6"/>
      <c r="E20" s="4">
        <f>IFERROR(VLOOKUP($D20,TrajetsTable[[Trajet ID]:[Notes]],2,FALSE),"")</f>
        <v>0</v>
      </c>
      <c r="F20" s="4">
        <f>IFERROR(VLOOKUP($D20,TrajetsTable[[Trajet ID]:[Notes]],3,FALSE),"")</f>
        <v>0</v>
      </c>
      <c r="G20" s="7">
        <f>IFERROR(VLOOKUP($D20,TrajetsTable[[Trajet ID]:[Notes]],4,FALSE),0)</f>
        <v>0</v>
      </c>
      <c r="I20" s="6">
        <v>2</v>
      </c>
      <c r="J20" s="6">
        <f>IFERROR(COUNTIF(InscriptionsTable[Course ID],[@ID]),0)</f>
        <v>0</v>
      </c>
      <c r="K20" s="6">
        <f>[@[Places passagers]]-[@[Nb passagers]]</f>
        <v>0</v>
      </c>
      <c r="M20" s="8">
        <f>IFERROR([@[Distance (km)]]*CoutKm + VLOOKUP($D20,TrajetsTable[[Trajet ID]:[Notes]],5,FALSE),0)</f>
        <v>0</v>
      </c>
      <c r="N20" s="11">
        <f>[@[Nb passagers]]*[@[Distance (km)]]*CO2gkm/1000</f>
        <v>0</v>
      </c>
    </row>
    <row r="21" spans="1:14">
      <c r="A21" s="6" t="s">
        <v>113</v>
      </c>
      <c r="B21" s="6"/>
      <c r="E21" s="4">
        <f>IFERROR(VLOOKUP($D21,TrajetsTable[[Trajet ID]:[Notes]],2,FALSE),"")</f>
        <v>0</v>
      </c>
      <c r="F21" s="4">
        <f>IFERROR(VLOOKUP($D21,TrajetsTable[[Trajet ID]:[Notes]],3,FALSE),"")</f>
        <v>0</v>
      </c>
      <c r="G21" s="7">
        <f>IFERROR(VLOOKUP($D21,TrajetsTable[[Trajet ID]:[Notes]],4,FALSE),0)</f>
        <v>0</v>
      </c>
      <c r="I21" s="6">
        <v>2</v>
      </c>
      <c r="J21" s="6">
        <f>IFERROR(COUNTIF(InscriptionsTable[Course ID],[@ID]),0)</f>
        <v>0</v>
      </c>
      <c r="K21" s="6">
        <f>[@[Places passagers]]-[@[Nb passagers]]</f>
        <v>0</v>
      </c>
      <c r="M21" s="8">
        <f>IFERROR([@[Distance (km)]]*CoutKm + VLOOKUP($D21,TrajetsTable[[Trajet ID]:[Notes]],5,FALSE),0)</f>
        <v>0</v>
      </c>
      <c r="N21" s="11">
        <f>[@[Nb passagers]]*[@[Distance (km)]]*CO2gkm/1000</f>
        <v>0</v>
      </c>
    </row>
    <row r="22" spans="1:14">
      <c r="A22" s="6" t="s">
        <v>114</v>
      </c>
      <c r="B22" s="6"/>
      <c r="E22" s="4">
        <f>IFERROR(VLOOKUP($D22,TrajetsTable[[Trajet ID]:[Notes]],2,FALSE),"")</f>
        <v>0</v>
      </c>
      <c r="F22" s="4">
        <f>IFERROR(VLOOKUP($D22,TrajetsTable[[Trajet ID]:[Notes]],3,FALSE),"")</f>
        <v>0</v>
      </c>
      <c r="G22" s="7">
        <f>IFERROR(VLOOKUP($D22,TrajetsTable[[Trajet ID]:[Notes]],4,FALSE),0)</f>
        <v>0</v>
      </c>
      <c r="I22" s="6">
        <v>2</v>
      </c>
      <c r="J22" s="6">
        <f>IFERROR(COUNTIF(InscriptionsTable[Course ID],[@ID]),0)</f>
        <v>0</v>
      </c>
      <c r="K22" s="6">
        <f>[@[Places passagers]]-[@[Nb passagers]]</f>
        <v>0</v>
      </c>
      <c r="M22" s="8">
        <f>IFERROR([@[Distance (km)]]*CoutKm + VLOOKUP($D22,TrajetsTable[[Trajet ID]:[Notes]],5,FALSE),0)</f>
        <v>0</v>
      </c>
      <c r="N22" s="11">
        <f>[@[Nb passagers]]*[@[Distance (km)]]*CO2gkm/1000</f>
        <v>0</v>
      </c>
    </row>
    <row r="23" spans="1:14">
      <c r="A23" s="6" t="s">
        <v>115</v>
      </c>
      <c r="B23" s="6"/>
      <c r="E23" s="4">
        <f>IFERROR(VLOOKUP($D23,TrajetsTable[[Trajet ID]:[Notes]],2,FALSE),"")</f>
        <v>0</v>
      </c>
      <c r="F23" s="4">
        <f>IFERROR(VLOOKUP($D23,TrajetsTable[[Trajet ID]:[Notes]],3,FALSE),"")</f>
        <v>0</v>
      </c>
      <c r="G23" s="7">
        <f>IFERROR(VLOOKUP($D23,TrajetsTable[[Trajet ID]:[Notes]],4,FALSE),0)</f>
        <v>0</v>
      </c>
      <c r="I23" s="6">
        <v>2</v>
      </c>
      <c r="J23" s="6">
        <f>IFERROR(COUNTIF(InscriptionsTable[Course ID],[@ID]),0)</f>
        <v>0</v>
      </c>
      <c r="K23" s="6">
        <f>[@[Places passagers]]-[@[Nb passagers]]</f>
        <v>0</v>
      </c>
      <c r="M23" s="8">
        <f>IFERROR([@[Distance (km)]]*CoutKm + VLOOKUP($D23,TrajetsTable[[Trajet ID]:[Notes]],5,FALSE),0)</f>
        <v>0</v>
      </c>
      <c r="N23" s="11">
        <f>[@[Nb passagers]]*[@[Distance (km)]]*CO2gkm/1000</f>
        <v>0</v>
      </c>
    </row>
    <row r="24" spans="1:14">
      <c r="A24" s="6" t="s">
        <v>116</v>
      </c>
      <c r="B24" s="6"/>
      <c r="E24" s="4">
        <f>IFERROR(VLOOKUP($D24,TrajetsTable[[Trajet ID]:[Notes]],2,FALSE),"")</f>
        <v>0</v>
      </c>
      <c r="F24" s="4">
        <f>IFERROR(VLOOKUP($D24,TrajetsTable[[Trajet ID]:[Notes]],3,FALSE),"")</f>
        <v>0</v>
      </c>
      <c r="G24" s="7">
        <f>IFERROR(VLOOKUP($D24,TrajetsTable[[Trajet ID]:[Notes]],4,FALSE),0)</f>
        <v>0</v>
      </c>
      <c r="I24" s="6">
        <v>2</v>
      </c>
      <c r="J24" s="6">
        <f>IFERROR(COUNTIF(InscriptionsTable[Course ID],[@ID]),0)</f>
        <v>0</v>
      </c>
      <c r="K24" s="6">
        <f>[@[Places passagers]]-[@[Nb passagers]]</f>
        <v>0</v>
      </c>
      <c r="M24" s="8">
        <f>IFERROR([@[Distance (km)]]*CoutKm + VLOOKUP($D24,TrajetsTable[[Trajet ID]:[Notes]],5,FALSE),0)</f>
        <v>0</v>
      </c>
      <c r="N24" s="11">
        <f>[@[Nb passagers]]*[@[Distance (km)]]*CO2gkm/1000</f>
        <v>0</v>
      </c>
    </row>
    <row r="25" spans="1:14">
      <c r="A25" s="6" t="s">
        <v>117</v>
      </c>
      <c r="B25" s="6"/>
      <c r="E25" s="4">
        <f>IFERROR(VLOOKUP($D25,TrajetsTable[[Trajet ID]:[Notes]],2,FALSE),"")</f>
        <v>0</v>
      </c>
      <c r="F25" s="4">
        <f>IFERROR(VLOOKUP($D25,TrajetsTable[[Trajet ID]:[Notes]],3,FALSE),"")</f>
        <v>0</v>
      </c>
      <c r="G25" s="7">
        <f>IFERROR(VLOOKUP($D25,TrajetsTable[[Trajet ID]:[Notes]],4,FALSE),0)</f>
        <v>0</v>
      </c>
      <c r="I25" s="6">
        <v>2</v>
      </c>
      <c r="J25" s="6">
        <f>IFERROR(COUNTIF(InscriptionsTable[Course ID],[@ID]),0)</f>
        <v>0</v>
      </c>
      <c r="K25" s="6">
        <f>[@[Places passagers]]-[@[Nb passagers]]</f>
        <v>0</v>
      </c>
      <c r="M25" s="8">
        <f>IFERROR([@[Distance (km)]]*CoutKm + VLOOKUP($D25,TrajetsTable[[Trajet ID]:[Notes]],5,FALSE),0)</f>
        <v>0</v>
      </c>
      <c r="N25" s="11">
        <f>[@[Nb passagers]]*[@[Distance (km)]]*CO2gkm/1000</f>
        <v>0</v>
      </c>
    </row>
    <row r="26" spans="1:14">
      <c r="A26" s="6" t="s">
        <v>118</v>
      </c>
      <c r="B26" s="6"/>
      <c r="E26" s="4">
        <f>IFERROR(VLOOKUP($D26,TrajetsTable[[Trajet ID]:[Notes]],2,FALSE),"")</f>
        <v>0</v>
      </c>
      <c r="F26" s="4">
        <f>IFERROR(VLOOKUP($D26,TrajetsTable[[Trajet ID]:[Notes]],3,FALSE),"")</f>
        <v>0</v>
      </c>
      <c r="G26" s="7">
        <f>IFERROR(VLOOKUP($D26,TrajetsTable[[Trajet ID]:[Notes]],4,FALSE),0)</f>
        <v>0</v>
      </c>
      <c r="I26" s="6">
        <v>2</v>
      </c>
      <c r="J26" s="6">
        <f>IFERROR(COUNTIF(InscriptionsTable[Course ID],[@ID]),0)</f>
        <v>0</v>
      </c>
      <c r="K26" s="6">
        <f>[@[Places passagers]]-[@[Nb passagers]]</f>
        <v>0</v>
      </c>
      <c r="M26" s="8">
        <f>IFERROR([@[Distance (km)]]*CoutKm + VLOOKUP($D26,TrajetsTable[[Trajet ID]:[Notes]],5,FALSE),0)</f>
        <v>0</v>
      </c>
      <c r="N26" s="11">
        <f>[@[Nb passagers]]*[@[Distance (km)]]*CO2gkm/1000</f>
        <v>0</v>
      </c>
    </row>
    <row r="27" spans="1:14">
      <c r="A27" s="6" t="s">
        <v>119</v>
      </c>
      <c r="B27" s="6"/>
      <c r="E27" s="4">
        <f>IFERROR(VLOOKUP($D27,TrajetsTable[[Trajet ID]:[Notes]],2,FALSE),"")</f>
        <v>0</v>
      </c>
      <c r="F27" s="4">
        <f>IFERROR(VLOOKUP($D27,TrajetsTable[[Trajet ID]:[Notes]],3,FALSE),"")</f>
        <v>0</v>
      </c>
      <c r="G27" s="7">
        <f>IFERROR(VLOOKUP($D27,TrajetsTable[[Trajet ID]:[Notes]],4,FALSE),0)</f>
        <v>0</v>
      </c>
      <c r="I27" s="6">
        <v>2</v>
      </c>
      <c r="J27" s="6">
        <f>IFERROR(COUNTIF(InscriptionsTable[Course ID],[@ID]),0)</f>
        <v>0</v>
      </c>
      <c r="K27" s="6">
        <f>[@[Places passagers]]-[@[Nb passagers]]</f>
        <v>0</v>
      </c>
      <c r="M27" s="8">
        <f>IFERROR([@[Distance (km)]]*CoutKm + VLOOKUP($D27,TrajetsTable[[Trajet ID]:[Notes]],5,FALSE),0)</f>
        <v>0</v>
      </c>
      <c r="N27" s="11">
        <f>[@[Nb passagers]]*[@[Distance (km)]]*CO2gkm/1000</f>
        <v>0</v>
      </c>
    </row>
    <row r="28" spans="1:14">
      <c r="A28" s="6" t="s">
        <v>120</v>
      </c>
      <c r="B28" s="6"/>
      <c r="E28" s="4">
        <f>IFERROR(VLOOKUP($D28,TrajetsTable[[Trajet ID]:[Notes]],2,FALSE),"")</f>
        <v>0</v>
      </c>
      <c r="F28" s="4">
        <f>IFERROR(VLOOKUP($D28,TrajetsTable[[Trajet ID]:[Notes]],3,FALSE),"")</f>
        <v>0</v>
      </c>
      <c r="G28" s="7">
        <f>IFERROR(VLOOKUP($D28,TrajetsTable[[Trajet ID]:[Notes]],4,FALSE),0)</f>
        <v>0</v>
      </c>
      <c r="I28" s="6">
        <v>2</v>
      </c>
      <c r="J28" s="6">
        <f>IFERROR(COUNTIF(InscriptionsTable[Course ID],[@ID]),0)</f>
        <v>0</v>
      </c>
      <c r="K28" s="6">
        <f>[@[Places passagers]]-[@[Nb passagers]]</f>
        <v>0</v>
      </c>
      <c r="M28" s="8">
        <f>IFERROR([@[Distance (km)]]*CoutKm + VLOOKUP($D28,TrajetsTable[[Trajet ID]:[Notes]],5,FALSE),0)</f>
        <v>0</v>
      </c>
      <c r="N28" s="11">
        <f>[@[Nb passagers]]*[@[Distance (km)]]*CO2gkm/1000</f>
        <v>0</v>
      </c>
    </row>
    <row r="29" spans="1:14">
      <c r="A29" s="6" t="s">
        <v>121</v>
      </c>
      <c r="B29" s="6"/>
      <c r="E29" s="4">
        <f>IFERROR(VLOOKUP($D29,TrajetsTable[[Trajet ID]:[Notes]],2,FALSE),"")</f>
        <v>0</v>
      </c>
      <c r="F29" s="4">
        <f>IFERROR(VLOOKUP($D29,TrajetsTable[[Trajet ID]:[Notes]],3,FALSE),"")</f>
        <v>0</v>
      </c>
      <c r="G29" s="7">
        <f>IFERROR(VLOOKUP($D29,TrajetsTable[[Trajet ID]:[Notes]],4,FALSE),0)</f>
        <v>0</v>
      </c>
      <c r="I29" s="6">
        <v>2</v>
      </c>
      <c r="J29" s="6">
        <f>IFERROR(COUNTIF(InscriptionsTable[Course ID],[@ID]),0)</f>
        <v>0</v>
      </c>
      <c r="K29" s="6">
        <f>[@[Places passagers]]-[@[Nb passagers]]</f>
        <v>0</v>
      </c>
      <c r="M29" s="8">
        <f>IFERROR([@[Distance (km)]]*CoutKm + VLOOKUP($D29,TrajetsTable[[Trajet ID]:[Notes]],5,FALSE),0)</f>
        <v>0</v>
      </c>
      <c r="N29" s="11">
        <f>[@[Nb passagers]]*[@[Distance (km)]]*CO2gkm/1000</f>
        <v>0</v>
      </c>
    </row>
    <row r="30" spans="1:14">
      <c r="A30" s="6" t="s">
        <v>122</v>
      </c>
      <c r="B30" s="6"/>
      <c r="E30" s="4">
        <f>IFERROR(VLOOKUP($D30,TrajetsTable[[Trajet ID]:[Notes]],2,FALSE),"")</f>
        <v>0</v>
      </c>
      <c r="F30" s="4">
        <f>IFERROR(VLOOKUP($D30,TrajetsTable[[Trajet ID]:[Notes]],3,FALSE),"")</f>
        <v>0</v>
      </c>
      <c r="G30" s="7">
        <f>IFERROR(VLOOKUP($D30,TrajetsTable[[Trajet ID]:[Notes]],4,FALSE),0)</f>
        <v>0</v>
      </c>
      <c r="I30" s="6">
        <v>2</v>
      </c>
      <c r="J30" s="6">
        <f>IFERROR(COUNTIF(InscriptionsTable[Course ID],[@ID]),0)</f>
        <v>0</v>
      </c>
      <c r="K30" s="6">
        <f>[@[Places passagers]]-[@[Nb passagers]]</f>
        <v>0</v>
      </c>
      <c r="M30" s="8">
        <f>IFERROR([@[Distance (km)]]*CoutKm + VLOOKUP($D30,TrajetsTable[[Trajet ID]:[Notes]],5,FALSE),0)</f>
        <v>0</v>
      </c>
      <c r="N30" s="11">
        <f>[@[Nb passagers]]*[@[Distance (km)]]*CO2gkm/1000</f>
        <v>0</v>
      </c>
    </row>
    <row r="31" spans="1:14">
      <c r="A31" s="6" t="s">
        <v>123</v>
      </c>
      <c r="B31" s="6"/>
      <c r="E31" s="4">
        <f>IFERROR(VLOOKUP($D31,TrajetsTable[[Trajet ID]:[Notes]],2,FALSE),"")</f>
        <v>0</v>
      </c>
      <c r="F31" s="4">
        <f>IFERROR(VLOOKUP($D31,TrajetsTable[[Trajet ID]:[Notes]],3,FALSE),"")</f>
        <v>0</v>
      </c>
      <c r="G31" s="7">
        <f>IFERROR(VLOOKUP($D31,TrajetsTable[[Trajet ID]:[Notes]],4,FALSE),0)</f>
        <v>0</v>
      </c>
      <c r="I31" s="6">
        <v>2</v>
      </c>
      <c r="J31" s="6">
        <f>IFERROR(COUNTIF(InscriptionsTable[Course ID],[@ID]),0)</f>
        <v>0</v>
      </c>
      <c r="K31" s="6">
        <f>[@[Places passagers]]-[@[Nb passagers]]</f>
        <v>0</v>
      </c>
      <c r="M31" s="8">
        <f>IFERROR([@[Distance (km)]]*CoutKm + VLOOKUP($D31,TrajetsTable[[Trajet ID]:[Notes]],5,FALSE),0)</f>
        <v>0</v>
      </c>
      <c r="N31" s="11">
        <f>[@[Nb passagers]]*[@[Distance (km)]]*CO2gkm/1000</f>
        <v>0</v>
      </c>
    </row>
    <row r="32" spans="1:14">
      <c r="A32" s="6" t="s">
        <v>124</v>
      </c>
      <c r="B32" s="6"/>
      <c r="E32" s="4">
        <f>IFERROR(VLOOKUP($D32,TrajetsTable[[Trajet ID]:[Notes]],2,FALSE),"")</f>
        <v>0</v>
      </c>
      <c r="F32" s="4">
        <f>IFERROR(VLOOKUP($D32,TrajetsTable[[Trajet ID]:[Notes]],3,FALSE),"")</f>
        <v>0</v>
      </c>
      <c r="G32" s="7">
        <f>IFERROR(VLOOKUP($D32,TrajetsTable[[Trajet ID]:[Notes]],4,FALSE),0)</f>
        <v>0</v>
      </c>
      <c r="I32" s="6">
        <v>2</v>
      </c>
      <c r="J32" s="6">
        <f>IFERROR(COUNTIF(InscriptionsTable[Course ID],[@ID]),0)</f>
        <v>0</v>
      </c>
      <c r="K32" s="6">
        <f>[@[Places passagers]]-[@[Nb passagers]]</f>
        <v>0</v>
      </c>
      <c r="M32" s="8">
        <f>IFERROR([@[Distance (km)]]*CoutKm + VLOOKUP($D32,TrajetsTable[[Trajet ID]:[Notes]],5,FALSE),0)</f>
        <v>0</v>
      </c>
      <c r="N32" s="11">
        <f>[@[Nb passagers]]*[@[Distance (km)]]*CO2gkm/1000</f>
        <v>0</v>
      </c>
    </row>
    <row r="33" spans="1:14">
      <c r="A33" s="6" t="s">
        <v>125</v>
      </c>
      <c r="B33" s="6"/>
      <c r="E33" s="4">
        <f>IFERROR(VLOOKUP($D33,TrajetsTable[[Trajet ID]:[Notes]],2,FALSE),"")</f>
        <v>0</v>
      </c>
      <c r="F33" s="4">
        <f>IFERROR(VLOOKUP($D33,TrajetsTable[[Trajet ID]:[Notes]],3,FALSE),"")</f>
        <v>0</v>
      </c>
      <c r="G33" s="7">
        <f>IFERROR(VLOOKUP($D33,TrajetsTable[[Trajet ID]:[Notes]],4,FALSE),0)</f>
        <v>0</v>
      </c>
      <c r="I33" s="6">
        <v>2</v>
      </c>
      <c r="J33" s="6">
        <f>IFERROR(COUNTIF(InscriptionsTable[Course ID],[@ID]),0)</f>
        <v>0</v>
      </c>
      <c r="K33" s="6">
        <f>[@[Places passagers]]-[@[Nb passagers]]</f>
        <v>0</v>
      </c>
      <c r="M33" s="8">
        <f>IFERROR([@[Distance (km)]]*CoutKm + VLOOKUP($D33,TrajetsTable[[Trajet ID]:[Notes]],5,FALSE),0)</f>
        <v>0</v>
      </c>
      <c r="N33" s="11">
        <f>[@[Nb passagers]]*[@[Distance (km)]]*CO2gkm/1000</f>
        <v>0</v>
      </c>
    </row>
    <row r="34" spans="1:14">
      <c r="A34" s="6" t="s">
        <v>126</v>
      </c>
      <c r="B34" s="6"/>
      <c r="E34" s="4">
        <f>IFERROR(VLOOKUP($D34,TrajetsTable[[Trajet ID]:[Notes]],2,FALSE),"")</f>
        <v>0</v>
      </c>
      <c r="F34" s="4">
        <f>IFERROR(VLOOKUP($D34,TrajetsTable[[Trajet ID]:[Notes]],3,FALSE),"")</f>
        <v>0</v>
      </c>
      <c r="G34" s="7">
        <f>IFERROR(VLOOKUP($D34,TrajetsTable[[Trajet ID]:[Notes]],4,FALSE),0)</f>
        <v>0</v>
      </c>
      <c r="I34" s="6">
        <v>2</v>
      </c>
      <c r="J34" s="6">
        <f>IFERROR(COUNTIF(InscriptionsTable[Course ID],[@ID]),0)</f>
        <v>0</v>
      </c>
      <c r="K34" s="6">
        <f>[@[Places passagers]]-[@[Nb passagers]]</f>
        <v>0</v>
      </c>
      <c r="M34" s="8">
        <f>IFERROR([@[Distance (km)]]*CoutKm + VLOOKUP($D34,TrajetsTable[[Trajet ID]:[Notes]],5,FALSE),0)</f>
        <v>0</v>
      </c>
      <c r="N34" s="11">
        <f>[@[Nb passagers]]*[@[Distance (km)]]*CO2gkm/1000</f>
        <v>0</v>
      </c>
    </row>
    <row r="35" spans="1:14">
      <c r="A35" s="6" t="s">
        <v>127</v>
      </c>
      <c r="B35" s="6"/>
      <c r="E35" s="4">
        <f>IFERROR(VLOOKUP($D35,TrajetsTable[[Trajet ID]:[Notes]],2,FALSE),"")</f>
        <v>0</v>
      </c>
      <c r="F35" s="4">
        <f>IFERROR(VLOOKUP($D35,TrajetsTable[[Trajet ID]:[Notes]],3,FALSE),"")</f>
        <v>0</v>
      </c>
      <c r="G35" s="7">
        <f>IFERROR(VLOOKUP($D35,TrajetsTable[[Trajet ID]:[Notes]],4,FALSE),0)</f>
        <v>0</v>
      </c>
      <c r="I35" s="6">
        <v>2</v>
      </c>
      <c r="J35" s="6">
        <f>IFERROR(COUNTIF(InscriptionsTable[Course ID],[@ID]),0)</f>
        <v>0</v>
      </c>
      <c r="K35" s="6">
        <f>[@[Places passagers]]-[@[Nb passagers]]</f>
        <v>0</v>
      </c>
      <c r="M35" s="8">
        <f>IFERROR([@[Distance (km)]]*CoutKm + VLOOKUP($D35,TrajetsTable[[Trajet ID]:[Notes]],5,FALSE),0)</f>
        <v>0</v>
      </c>
      <c r="N35" s="11">
        <f>[@[Nb passagers]]*[@[Distance (km)]]*CO2gkm/1000</f>
        <v>0</v>
      </c>
    </row>
    <row r="36" spans="1:14">
      <c r="A36" s="6" t="s">
        <v>128</v>
      </c>
      <c r="B36" s="6"/>
      <c r="E36" s="4">
        <f>IFERROR(VLOOKUP($D36,TrajetsTable[[Trajet ID]:[Notes]],2,FALSE),"")</f>
        <v>0</v>
      </c>
      <c r="F36" s="4">
        <f>IFERROR(VLOOKUP($D36,TrajetsTable[[Trajet ID]:[Notes]],3,FALSE),"")</f>
        <v>0</v>
      </c>
      <c r="G36" s="7">
        <f>IFERROR(VLOOKUP($D36,TrajetsTable[[Trajet ID]:[Notes]],4,FALSE),0)</f>
        <v>0</v>
      </c>
      <c r="I36" s="6">
        <v>2</v>
      </c>
      <c r="J36" s="6">
        <f>IFERROR(COUNTIF(InscriptionsTable[Course ID],[@ID]),0)</f>
        <v>0</v>
      </c>
      <c r="K36" s="6">
        <f>[@[Places passagers]]-[@[Nb passagers]]</f>
        <v>0</v>
      </c>
      <c r="M36" s="8">
        <f>IFERROR([@[Distance (km)]]*CoutKm + VLOOKUP($D36,TrajetsTable[[Trajet ID]:[Notes]],5,FALSE),0)</f>
        <v>0</v>
      </c>
      <c r="N36" s="11">
        <f>[@[Nb passagers]]*[@[Distance (km)]]*CO2gkm/1000</f>
        <v>0</v>
      </c>
    </row>
    <row r="37" spans="1:14">
      <c r="A37" s="6" t="s">
        <v>129</v>
      </c>
      <c r="B37" s="6"/>
      <c r="E37" s="4">
        <f>IFERROR(VLOOKUP($D37,TrajetsTable[[Trajet ID]:[Notes]],2,FALSE),"")</f>
        <v>0</v>
      </c>
      <c r="F37" s="4">
        <f>IFERROR(VLOOKUP($D37,TrajetsTable[[Trajet ID]:[Notes]],3,FALSE),"")</f>
        <v>0</v>
      </c>
      <c r="G37" s="7">
        <f>IFERROR(VLOOKUP($D37,TrajetsTable[[Trajet ID]:[Notes]],4,FALSE),0)</f>
        <v>0</v>
      </c>
      <c r="I37" s="6">
        <v>2</v>
      </c>
      <c r="J37" s="6">
        <f>IFERROR(COUNTIF(InscriptionsTable[Course ID],[@ID]),0)</f>
        <v>0</v>
      </c>
      <c r="K37" s="6">
        <f>[@[Places passagers]]-[@[Nb passagers]]</f>
        <v>0</v>
      </c>
      <c r="M37" s="8">
        <f>IFERROR([@[Distance (km)]]*CoutKm + VLOOKUP($D37,TrajetsTable[[Trajet ID]:[Notes]],5,FALSE),0)</f>
        <v>0</v>
      </c>
      <c r="N37" s="11">
        <f>[@[Nb passagers]]*[@[Distance (km)]]*CO2gkm/1000</f>
        <v>0</v>
      </c>
    </row>
    <row r="38" spans="1:14">
      <c r="A38" s="6" t="s">
        <v>130</v>
      </c>
      <c r="B38" s="6"/>
      <c r="E38" s="4">
        <f>IFERROR(VLOOKUP($D38,TrajetsTable[[Trajet ID]:[Notes]],2,FALSE),"")</f>
        <v>0</v>
      </c>
      <c r="F38" s="4">
        <f>IFERROR(VLOOKUP($D38,TrajetsTable[[Trajet ID]:[Notes]],3,FALSE),"")</f>
        <v>0</v>
      </c>
      <c r="G38" s="7">
        <f>IFERROR(VLOOKUP($D38,TrajetsTable[[Trajet ID]:[Notes]],4,FALSE),0)</f>
        <v>0</v>
      </c>
      <c r="I38" s="6">
        <v>2</v>
      </c>
      <c r="J38" s="6">
        <f>IFERROR(COUNTIF(InscriptionsTable[Course ID],[@ID]),0)</f>
        <v>0</v>
      </c>
      <c r="K38" s="6">
        <f>[@[Places passagers]]-[@[Nb passagers]]</f>
        <v>0</v>
      </c>
      <c r="M38" s="8">
        <f>IFERROR([@[Distance (km)]]*CoutKm + VLOOKUP($D38,TrajetsTable[[Trajet ID]:[Notes]],5,FALSE),0)</f>
        <v>0</v>
      </c>
      <c r="N38" s="11">
        <f>[@[Nb passagers]]*[@[Distance (km)]]*CO2gkm/1000</f>
        <v>0</v>
      </c>
    </row>
    <row r="39" spans="1:14">
      <c r="A39" s="6" t="s">
        <v>131</v>
      </c>
      <c r="B39" s="6"/>
      <c r="E39" s="4">
        <f>IFERROR(VLOOKUP($D39,TrajetsTable[[Trajet ID]:[Notes]],2,FALSE),"")</f>
        <v>0</v>
      </c>
      <c r="F39" s="4">
        <f>IFERROR(VLOOKUP($D39,TrajetsTable[[Trajet ID]:[Notes]],3,FALSE),"")</f>
        <v>0</v>
      </c>
      <c r="G39" s="7">
        <f>IFERROR(VLOOKUP($D39,TrajetsTable[[Trajet ID]:[Notes]],4,FALSE),0)</f>
        <v>0</v>
      </c>
      <c r="I39" s="6">
        <v>2</v>
      </c>
      <c r="J39" s="6">
        <f>IFERROR(COUNTIF(InscriptionsTable[Course ID],[@ID]),0)</f>
        <v>0</v>
      </c>
      <c r="K39" s="6">
        <f>[@[Places passagers]]-[@[Nb passagers]]</f>
        <v>0</v>
      </c>
      <c r="M39" s="8">
        <f>IFERROR([@[Distance (km)]]*CoutKm + VLOOKUP($D39,TrajetsTable[[Trajet ID]:[Notes]],5,FALSE),0)</f>
        <v>0</v>
      </c>
      <c r="N39" s="11">
        <f>[@[Nb passagers]]*[@[Distance (km)]]*CO2gkm/1000</f>
        <v>0</v>
      </c>
    </row>
    <row r="40" spans="1:14">
      <c r="A40" s="6" t="s">
        <v>132</v>
      </c>
      <c r="B40" s="6"/>
      <c r="E40" s="4">
        <f>IFERROR(VLOOKUP($D40,TrajetsTable[[Trajet ID]:[Notes]],2,FALSE),"")</f>
        <v>0</v>
      </c>
      <c r="F40" s="4">
        <f>IFERROR(VLOOKUP($D40,TrajetsTable[[Trajet ID]:[Notes]],3,FALSE),"")</f>
        <v>0</v>
      </c>
      <c r="G40" s="7">
        <f>IFERROR(VLOOKUP($D40,TrajetsTable[[Trajet ID]:[Notes]],4,FALSE),0)</f>
        <v>0</v>
      </c>
      <c r="I40" s="6">
        <v>2</v>
      </c>
      <c r="J40" s="6">
        <f>IFERROR(COUNTIF(InscriptionsTable[Course ID],[@ID]),0)</f>
        <v>0</v>
      </c>
      <c r="K40" s="6">
        <f>[@[Places passagers]]-[@[Nb passagers]]</f>
        <v>0</v>
      </c>
      <c r="M40" s="8">
        <f>IFERROR([@[Distance (km)]]*CoutKm + VLOOKUP($D40,TrajetsTable[[Trajet ID]:[Notes]],5,FALSE),0)</f>
        <v>0</v>
      </c>
      <c r="N40" s="11">
        <f>[@[Nb passagers]]*[@[Distance (km)]]*CO2gkm/1000</f>
        <v>0</v>
      </c>
    </row>
    <row r="41" spans="1:14">
      <c r="A41" s="6" t="s">
        <v>133</v>
      </c>
      <c r="B41" s="6"/>
      <c r="E41" s="4">
        <f>IFERROR(VLOOKUP($D41,TrajetsTable[[Trajet ID]:[Notes]],2,FALSE),"")</f>
        <v>0</v>
      </c>
      <c r="F41" s="4">
        <f>IFERROR(VLOOKUP($D41,TrajetsTable[[Trajet ID]:[Notes]],3,FALSE),"")</f>
        <v>0</v>
      </c>
      <c r="G41" s="7">
        <f>IFERROR(VLOOKUP($D41,TrajetsTable[[Trajet ID]:[Notes]],4,FALSE),0)</f>
        <v>0</v>
      </c>
      <c r="I41" s="6">
        <v>2</v>
      </c>
      <c r="J41" s="6">
        <f>IFERROR(COUNTIF(InscriptionsTable[Course ID],[@ID]),0)</f>
        <v>0</v>
      </c>
      <c r="K41" s="6">
        <f>[@[Places passagers]]-[@[Nb passagers]]</f>
        <v>0</v>
      </c>
      <c r="M41" s="8">
        <f>IFERROR([@[Distance (km)]]*CoutKm + VLOOKUP($D41,TrajetsTable[[Trajet ID]:[Notes]],5,FALSE),0)</f>
        <v>0</v>
      </c>
      <c r="N41" s="11">
        <f>[@[Nb passagers]]*[@[Distance (km)]]*CO2gkm/1000</f>
        <v>0</v>
      </c>
    </row>
    <row r="42" spans="1:14">
      <c r="A42" s="6" t="s">
        <v>134</v>
      </c>
      <c r="B42" s="6"/>
      <c r="E42" s="4">
        <f>IFERROR(VLOOKUP($D42,TrajetsTable[[Trajet ID]:[Notes]],2,FALSE),"")</f>
        <v>0</v>
      </c>
      <c r="F42" s="4">
        <f>IFERROR(VLOOKUP($D42,TrajetsTable[[Trajet ID]:[Notes]],3,FALSE),"")</f>
        <v>0</v>
      </c>
      <c r="G42" s="7">
        <f>IFERROR(VLOOKUP($D42,TrajetsTable[[Trajet ID]:[Notes]],4,FALSE),0)</f>
        <v>0</v>
      </c>
      <c r="I42" s="6">
        <v>2</v>
      </c>
      <c r="J42" s="6">
        <f>IFERROR(COUNTIF(InscriptionsTable[Course ID],[@ID]),0)</f>
        <v>0</v>
      </c>
      <c r="K42" s="6">
        <f>[@[Places passagers]]-[@[Nb passagers]]</f>
        <v>0</v>
      </c>
      <c r="M42" s="8">
        <f>IFERROR([@[Distance (km)]]*CoutKm + VLOOKUP($D42,TrajetsTable[[Trajet ID]:[Notes]],5,FALSE),0)</f>
        <v>0</v>
      </c>
      <c r="N42" s="11">
        <f>[@[Nb passagers]]*[@[Distance (km)]]*CO2gkm/1000</f>
        <v>0</v>
      </c>
    </row>
    <row r="43" spans="1:14">
      <c r="A43" s="6" t="s">
        <v>135</v>
      </c>
      <c r="B43" s="6"/>
      <c r="E43" s="4">
        <f>IFERROR(VLOOKUP($D43,TrajetsTable[[Trajet ID]:[Notes]],2,FALSE),"")</f>
        <v>0</v>
      </c>
      <c r="F43" s="4">
        <f>IFERROR(VLOOKUP($D43,TrajetsTable[[Trajet ID]:[Notes]],3,FALSE),"")</f>
        <v>0</v>
      </c>
      <c r="G43" s="7">
        <f>IFERROR(VLOOKUP($D43,TrajetsTable[[Trajet ID]:[Notes]],4,FALSE),0)</f>
        <v>0</v>
      </c>
      <c r="I43" s="6">
        <v>2</v>
      </c>
      <c r="J43" s="6">
        <f>IFERROR(COUNTIF(InscriptionsTable[Course ID],[@ID]),0)</f>
        <v>0</v>
      </c>
      <c r="K43" s="6">
        <f>[@[Places passagers]]-[@[Nb passagers]]</f>
        <v>0</v>
      </c>
      <c r="M43" s="8">
        <f>IFERROR([@[Distance (km)]]*CoutKm + VLOOKUP($D43,TrajetsTable[[Trajet ID]:[Notes]],5,FALSE),0)</f>
        <v>0</v>
      </c>
      <c r="N43" s="11">
        <f>[@[Nb passagers]]*[@[Distance (km)]]*CO2gkm/1000</f>
        <v>0</v>
      </c>
    </row>
    <row r="44" spans="1:14">
      <c r="A44" s="6" t="s">
        <v>136</v>
      </c>
      <c r="B44" s="6"/>
      <c r="E44" s="4">
        <f>IFERROR(VLOOKUP($D44,TrajetsTable[[Trajet ID]:[Notes]],2,FALSE),"")</f>
        <v>0</v>
      </c>
      <c r="F44" s="4">
        <f>IFERROR(VLOOKUP($D44,TrajetsTable[[Trajet ID]:[Notes]],3,FALSE),"")</f>
        <v>0</v>
      </c>
      <c r="G44" s="7">
        <f>IFERROR(VLOOKUP($D44,TrajetsTable[[Trajet ID]:[Notes]],4,FALSE),0)</f>
        <v>0</v>
      </c>
      <c r="I44" s="6">
        <v>2</v>
      </c>
      <c r="J44" s="6">
        <f>IFERROR(COUNTIF(InscriptionsTable[Course ID],[@ID]),0)</f>
        <v>0</v>
      </c>
      <c r="K44" s="6">
        <f>[@[Places passagers]]-[@[Nb passagers]]</f>
        <v>0</v>
      </c>
      <c r="M44" s="8">
        <f>IFERROR([@[Distance (km)]]*CoutKm + VLOOKUP($D44,TrajetsTable[[Trajet ID]:[Notes]],5,FALSE),0)</f>
        <v>0</v>
      </c>
      <c r="N44" s="11">
        <f>[@[Nb passagers]]*[@[Distance (km)]]*CO2gkm/1000</f>
        <v>0</v>
      </c>
    </row>
    <row r="45" spans="1:14">
      <c r="A45" s="6" t="s">
        <v>137</v>
      </c>
      <c r="B45" s="6"/>
      <c r="E45" s="4">
        <f>IFERROR(VLOOKUP($D45,TrajetsTable[[Trajet ID]:[Notes]],2,FALSE),"")</f>
        <v>0</v>
      </c>
      <c r="F45" s="4">
        <f>IFERROR(VLOOKUP($D45,TrajetsTable[[Trajet ID]:[Notes]],3,FALSE),"")</f>
        <v>0</v>
      </c>
      <c r="G45" s="7">
        <f>IFERROR(VLOOKUP($D45,TrajetsTable[[Trajet ID]:[Notes]],4,FALSE),0)</f>
        <v>0</v>
      </c>
      <c r="I45" s="6">
        <v>2</v>
      </c>
      <c r="J45" s="6">
        <f>IFERROR(COUNTIF(InscriptionsTable[Course ID],[@ID]),0)</f>
        <v>0</v>
      </c>
      <c r="K45" s="6">
        <f>[@[Places passagers]]-[@[Nb passagers]]</f>
        <v>0</v>
      </c>
      <c r="M45" s="8">
        <f>IFERROR([@[Distance (km)]]*CoutKm + VLOOKUP($D45,TrajetsTable[[Trajet ID]:[Notes]],5,FALSE),0)</f>
        <v>0</v>
      </c>
      <c r="N45" s="11">
        <f>[@[Nb passagers]]*[@[Distance (km)]]*CO2gkm/1000</f>
        <v>0</v>
      </c>
    </row>
    <row r="46" spans="1:14">
      <c r="A46" s="6" t="s">
        <v>138</v>
      </c>
      <c r="B46" s="6"/>
      <c r="E46" s="4">
        <f>IFERROR(VLOOKUP($D46,TrajetsTable[[Trajet ID]:[Notes]],2,FALSE),"")</f>
        <v>0</v>
      </c>
      <c r="F46" s="4">
        <f>IFERROR(VLOOKUP($D46,TrajetsTable[[Trajet ID]:[Notes]],3,FALSE),"")</f>
        <v>0</v>
      </c>
      <c r="G46" s="7">
        <f>IFERROR(VLOOKUP($D46,TrajetsTable[[Trajet ID]:[Notes]],4,FALSE),0)</f>
        <v>0</v>
      </c>
      <c r="I46" s="6">
        <v>2</v>
      </c>
      <c r="J46" s="6">
        <f>IFERROR(COUNTIF(InscriptionsTable[Course ID],[@ID]),0)</f>
        <v>0</v>
      </c>
      <c r="K46" s="6">
        <f>[@[Places passagers]]-[@[Nb passagers]]</f>
        <v>0</v>
      </c>
      <c r="M46" s="8">
        <f>IFERROR([@[Distance (km)]]*CoutKm + VLOOKUP($D46,TrajetsTable[[Trajet ID]:[Notes]],5,FALSE),0)</f>
        <v>0</v>
      </c>
      <c r="N46" s="11">
        <f>[@[Nb passagers]]*[@[Distance (km)]]*CO2gkm/1000</f>
        <v>0</v>
      </c>
    </row>
    <row r="47" spans="1:14">
      <c r="A47" s="6" t="s">
        <v>139</v>
      </c>
      <c r="B47" s="6"/>
      <c r="E47" s="4">
        <f>IFERROR(VLOOKUP($D47,TrajetsTable[[Trajet ID]:[Notes]],2,FALSE),"")</f>
        <v>0</v>
      </c>
      <c r="F47" s="4">
        <f>IFERROR(VLOOKUP($D47,TrajetsTable[[Trajet ID]:[Notes]],3,FALSE),"")</f>
        <v>0</v>
      </c>
      <c r="G47" s="7">
        <f>IFERROR(VLOOKUP($D47,TrajetsTable[[Trajet ID]:[Notes]],4,FALSE),0)</f>
        <v>0</v>
      </c>
      <c r="I47" s="6">
        <v>2</v>
      </c>
      <c r="J47" s="6">
        <f>IFERROR(COUNTIF(InscriptionsTable[Course ID],[@ID]),0)</f>
        <v>0</v>
      </c>
      <c r="K47" s="6">
        <f>[@[Places passagers]]-[@[Nb passagers]]</f>
        <v>0</v>
      </c>
      <c r="M47" s="8">
        <f>IFERROR([@[Distance (km)]]*CoutKm + VLOOKUP($D47,TrajetsTable[[Trajet ID]:[Notes]],5,FALSE),0)</f>
        <v>0</v>
      </c>
      <c r="N47" s="11">
        <f>[@[Nb passagers]]*[@[Distance (km)]]*CO2gkm/1000</f>
        <v>0</v>
      </c>
    </row>
    <row r="48" spans="1:14">
      <c r="A48" s="6" t="s">
        <v>140</v>
      </c>
      <c r="B48" s="6"/>
      <c r="E48" s="4">
        <f>IFERROR(VLOOKUP($D48,TrajetsTable[[Trajet ID]:[Notes]],2,FALSE),"")</f>
        <v>0</v>
      </c>
      <c r="F48" s="4">
        <f>IFERROR(VLOOKUP($D48,TrajetsTable[[Trajet ID]:[Notes]],3,FALSE),"")</f>
        <v>0</v>
      </c>
      <c r="G48" s="7">
        <f>IFERROR(VLOOKUP($D48,TrajetsTable[[Trajet ID]:[Notes]],4,FALSE),0)</f>
        <v>0</v>
      </c>
      <c r="I48" s="6">
        <v>2</v>
      </c>
      <c r="J48" s="6">
        <f>IFERROR(COUNTIF(InscriptionsTable[Course ID],[@ID]),0)</f>
        <v>0</v>
      </c>
      <c r="K48" s="6">
        <f>[@[Places passagers]]-[@[Nb passagers]]</f>
        <v>0</v>
      </c>
      <c r="M48" s="8">
        <f>IFERROR([@[Distance (km)]]*CoutKm + VLOOKUP($D48,TrajetsTable[[Trajet ID]:[Notes]],5,FALSE),0)</f>
        <v>0</v>
      </c>
      <c r="N48" s="11">
        <f>[@[Nb passagers]]*[@[Distance (km)]]*CO2gkm/1000</f>
        <v>0</v>
      </c>
    </row>
    <row r="49" spans="1:14">
      <c r="A49" s="6" t="s">
        <v>141</v>
      </c>
      <c r="B49" s="6"/>
      <c r="E49" s="4">
        <f>IFERROR(VLOOKUP($D49,TrajetsTable[[Trajet ID]:[Notes]],2,FALSE),"")</f>
        <v>0</v>
      </c>
      <c r="F49" s="4">
        <f>IFERROR(VLOOKUP($D49,TrajetsTable[[Trajet ID]:[Notes]],3,FALSE),"")</f>
        <v>0</v>
      </c>
      <c r="G49" s="7">
        <f>IFERROR(VLOOKUP($D49,TrajetsTable[[Trajet ID]:[Notes]],4,FALSE),0)</f>
        <v>0</v>
      </c>
      <c r="I49" s="6">
        <v>2</v>
      </c>
      <c r="J49" s="6">
        <f>IFERROR(COUNTIF(InscriptionsTable[Course ID],[@ID]),0)</f>
        <v>0</v>
      </c>
      <c r="K49" s="6">
        <f>[@[Places passagers]]-[@[Nb passagers]]</f>
        <v>0</v>
      </c>
      <c r="M49" s="8">
        <f>IFERROR([@[Distance (km)]]*CoutKm + VLOOKUP($D49,TrajetsTable[[Trajet ID]:[Notes]],5,FALSE),0)</f>
        <v>0</v>
      </c>
      <c r="N49" s="11">
        <f>[@[Nb passagers]]*[@[Distance (km)]]*CO2gkm/1000</f>
        <v>0</v>
      </c>
    </row>
    <row r="50" spans="1:14">
      <c r="A50" s="6" t="s">
        <v>142</v>
      </c>
      <c r="B50" s="6"/>
      <c r="E50" s="4">
        <f>IFERROR(VLOOKUP($D50,TrajetsTable[[Trajet ID]:[Notes]],2,FALSE),"")</f>
        <v>0</v>
      </c>
      <c r="F50" s="4">
        <f>IFERROR(VLOOKUP($D50,TrajetsTable[[Trajet ID]:[Notes]],3,FALSE),"")</f>
        <v>0</v>
      </c>
      <c r="G50" s="7">
        <f>IFERROR(VLOOKUP($D50,TrajetsTable[[Trajet ID]:[Notes]],4,FALSE),0)</f>
        <v>0</v>
      </c>
      <c r="I50" s="6">
        <v>2</v>
      </c>
      <c r="J50" s="6">
        <f>IFERROR(COUNTIF(InscriptionsTable[Course ID],[@ID]),0)</f>
        <v>0</v>
      </c>
      <c r="K50" s="6">
        <f>[@[Places passagers]]-[@[Nb passagers]]</f>
        <v>0</v>
      </c>
      <c r="M50" s="8">
        <f>IFERROR([@[Distance (km)]]*CoutKm + VLOOKUP($D50,TrajetsTable[[Trajet ID]:[Notes]],5,FALSE),0)</f>
        <v>0</v>
      </c>
      <c r="N50" s="11">
        <f>[@[Nb passagers]]*[@[Distance (km)]]*CO2gkm/1000</f>
        <v>0</v>
      </c>
    </row>
    <row r="51" spans="1:14">
      <c r="A51" s="6" t="s">
        <v>143</v>
      </c>
      <c r="B51" s="6"/>
      <c r="E51" s="4">
        <f>IFERROR(VLOOKUP($D51,TrajetsTable[[Trajet ID]:[Notes]],2,FALSE),"")</f>
        <v>0</v>
      </c>
      <c r="F51" s="4">
        <f>IFERROR(VLOOKUP($D51,TrajetsTable[[Trajet ID]:[Notes]],3,FALSE),"")</f>
        <v>0</v>
      </c>
      <c r="G51" s="7">
        <f>IFERROR(VLOOKUP($D51,TrajetsTable[[Trajet ID]:[Notes]],4,FALSE),0)</f>
        <v>0</v>
      </c>
      <c r="I51" s="6">
        <v>2</v>
      </c>
      <c r="J51" s="6">
        <f>IFERROR(COUNTIF(InscriptionsTable[Course ID],[@ID]),0)</f>
        <v>0</v>
      </c>
      <c r="K51" s="6">
        <f>[@[Places passagers]]-[@[Nb passagers]]</f>
        <v>0</v>
      </c>
      <c r="M51" s="8">
        <f>IFERROR([@[Distance (km)]]*CoutKm + VLOOKUP($D51,TrajetsTable[[Trajet ID]:[Notes]],5,FALSE),0)</f>
        <v>0</v>
      </c>
      <c r="N51" s="11">
        <f>[@[Nb passagers]]*[@[Distance (km)]]*CO2gkm/1000</f>
        <v>0</v>
      </c>
    </row>
    <row r="52" spans="1:14">
      <c r="A52" s="6" t="s">
        <v>144</v>
      </c>
      <c r="B52" s="6"/>
      <c r="E52" s="4">
        <f>IFERROR(VLOOKUP($D52,TrajetsTable[[Trajet ID]:[Notes]],2,FALSE),"")</f>
        <v>0</v>
      </c>
      <c r="F52" s="4">
        <f>IFERROR(VLOOKUP($D52,TrajetsTable[[Trajet ID]:[Notes]],3,FALSE),"")</f>
        <v>0</v>
      </c>
      <c r="G52" s="7">
        <f>IFERROR(VLOOKUP($D52,TrajetsTable[[Trajet ID]:[Notes]],4,FALSE),0)</f>
        <v>0</v>
      </c>
      <c r="I52" s="6">
        <v>2</v>
      </c>
      <c r="J52" s="6">
        <f>IFERROR(COUNTIF(InscriptionsTable[Course ID],[@ID]),0)</f>
        <v>0</v>
      </c>
      <c r="K52" s="6">
        <f>[@[Places passagers]]-[@[Nb passagers]]</f>
        <v>0</v>
      </c>
      <c r="M52" s="8">
        <f>IFERROR([@[Distance (km)]]*CoutKm + VLOOKUP($D52,TrajetsTable[[Trajet ID]:[Notes]],5,FALSE),0)</f>
        <v>0</v>
      </c>
      <c r="N52" s="11">
        <f>[@[Nb passagers]]*[@[Distance (km)]]*CO2gkm/1000</f>
        <v>0</v>
      </c>
    </row>
    <row r="53" spans="1:14">
      <c r="A53" s="6" t="s">
        <v>145</v>
      </c>
      <c r="B53" s="6"/>
      <c r="E53" s="4">
        <f>IFERROR(VLOOKUP($D53,TrajetsTable[[Trajet ID]:[Notes]],2,FALSE),"")</f>
        <v>0</v>
      </c>
      <c r="F53" s="4">
        <f>IFERROR(VLOOKUP($D53,TrajetsTable[[Trajet ID]:[Notes]],3,FALSE),"")</f>
        <v>0</v>
      </c>
      <c r="G53" s="7">
        <f>IFERROR(VLOOKUP($D53,TrajetsTable[[Trajet ID]:[Notes]],4,FALSE),0)</f>
        <v>0</v>
      </c>
      <c r="I53" s="6">
        <v>2</v>
      </c>
      <c r="J53" s="6">
        <f>IFERROR(COUNTIF(InscriptionsTable[Course ID],[@ID]),0)</f>
        <v>0</v>
      </c>
      <c r="K53" s="6">
        <f>[@[Places passagers]]-[@[Nb passagers]]</f>
        <v>0</v>
      </c>
      <c r="M53" s="8">
        <f>IFERROR([@[Distance (km)]]*CoutKm + VLOOKUP($D53,TrajetsTable[[Trajet ID]:[Notes]],5,FALSE),0)</f>
        <v>0</v>
      </c>
      <c r="N53" s="11">
        <f>[@[Nb passagers]]*[@[Distance (km)]]*CO2gkm/1000</f>
        <v>0</v>
      </c>
    </row>
    <row r="54" spans="1:14">
      <c r="A54" s="6" t="s">
        <v>146</v>
      </c>
      <c r="B54" s="6"/>
      <c r="E54" s="4">
        <f>IFERROR(VLOOKUP($D54,TrajetsTable[[Trajet ID]:[Notes]],2,FALSE),"")</f>
        <v>0</v>
      </c>
      <c r="F54" s="4">
        <f>IFERROR(VLOOKUP($D54,TrajetsTable[[Trajet ID]:[Notes]],3,FALSE),"")</f>
        <v>0</v>
      </c>
      <c r="G54" s="7">
        <f>IFERROR(VLOOKUP($D54,TrajetsTable[[Trajet ID]:[Notes]],4,FALSE),0)</f>
        <v>0</v>
      </c>
      <c r="I54" s="6">
        <v>2</v>
      </c>
      <c r="J54" s="6">
        <f>IFERROR(COUNTIF(InscriptionsTable[Course ID],[@ID]),0)</f>
        <v>0</v>
      </c>
      <c r="K54" s="6">
        <f>[@[Places passagers]]-[@[Nb passagers]]</f>
        <v>0</v>
      </c>
      <c r="M54" s="8">
        <f>IFERROR([@[Distance (km)]]*CoutKm + VLOOKUP($D54,TrajetsTable[[Trajet ID]:[Notes]],5,FALSE),0)</f>
        <v>0</v>
      </c>
      <c r="N54" s="11">
        <f>[@[Nb passagers]]*[@[Distance (km)]]*CO2gkm/1000</f>
        <v>0</v>
      </c>
    </row>
    <row r="55" spans="1:14">
      <c r="A55" s="6" t="s">
        <v>147</v>
      </c>
      <c r="B55" s="6"/>
      <c r="E55" s="4">
        <f>IFERROR(VLOOKUP($D55,TrajetsTable[[Trajet ID]:[Notes]],2,FALSE),"")</f>
        <v>0</v>
      </c>
      <c r="F55" s="4">
        <f>IFERROR(VLOOKUP($D55,TrajetsTable[[Trajet ID]:[Notes]],3,FALSE),"")</f>
        <v>0</v>
      </c>
      <c r="G55" s="7">
        <f>IFERROR(VLOOKUP($D55,TrajetsTable[[Trajet ID]:[Notes]],4,FALSE),0)</f>
        <v>0</v>
      </c>
      <c r="I55" s="6">
        <v>2</v>
      </c>
      <c r="J55" s="6">
        <f>IFERROR(COUNTIF(InscriptionsTable[Course ID],[@ID]),0)</f>
        <v>0</v>
      </c>
      <c r="K55" s="6">
        <f>[@[Places passagers]]-[@[Nb passagers]]</f>
        <v>0</v>
      </c>
      <c r="M55" s="8">
        <f>IFERROR([@[Distance (km)]]*CoutKm + VLOOKUP($D55,TrajetsTable[[Trajet ID]:[Notes]],5,FALSE),0)</f>
        <v>0</v>
      </c>
      <c r="N55" s="11">
        <f>[@[Nb passagers]]*[@[Distance (km)]]*CO2gkm/1000</f>
        <v>0</v>
      </c>
    </row>
    <row r="56" spans="1:14">
      <c r="A56" s="6" t="s">
        <v>148</v>
      </c>
      <c r="B56" s="6"/>
      <c r="E56" s="4">
        <f>IFERROR(VLOOKUP($D56,TrajetsTable[[Trajet ID]:[Notes]],2,FALSE),"")</f>
        <v>0</v>
      </c>
      <c r="F56" s="4">
        <f>IFERROR(VLOOKUP($D56,TrajetsTable[[Trajet ID]:[Notes]],3,FALSE),"")</f>
        <v>0</v>
      </c>
      <c r="G56" s="7">
        <f>IFERROR(VLOOKUP($D56,TrajetsTable[[Trajet ID]:[Notes]],4,FALSE),0)</f>
        <v>0</v>
      </c>
      <c r="I56" s="6">
        <v>2</v>
      </c>
      <c r="J56" s="6">
        <f>IFERROR(COUNTIF(InscriptionsTable[Course ID],[@ID]),0)</f>
        <v>0</v>
      </c>
      <c r="K56" s="6">
        <f>[@[Places passagers]]-[@[Nb passagers]]</f>
        <v>0</v>
      </c>
      <c r="M56" s="8">
        <f>IFERROR([@[Distance (km)]]*CoutKm + VLOOKUP($D56,TrajetsTable[[Trajet ID]:[Notes]],5,FALSE),0)</f>
        <v>0</v>
      </c>
      <c r="N56" s="11">
        <f>[@[Nb passagers]]*[@[Distance (km)]]*CO2gkm/1000</f>
        <v>0</v>
      </c>
    </row>
    <row r="57" spans="1:14">
      <c r="A57" s="6" t="s">
        <v>149</v>
      </c>
      <c r="B57" s="6"/>
      <c r="E57" s="4">
        <f>IFERROR(VLOOKUP($D57,TrajetsTable[[Trajet ID]:[Notes]],2,FALSE),"")</f>
        <v>0</v>
      </c>
      <c r="F57" s="4">
        <f>IFERROR(VLOOKUP($D57,TrajetsTable[[Trajet ID]:[Notes]],3,FALSE),"")</f>
        <v>0</v>
      </c>
      <c r="G57" s="7">
        <f>IFERROR(VLOOKUP($D57,TrajetsTable[[Trajet ID]:[Notes]],4,FALSE),0)</f>
        <v>0</v>
      </c>
      <c r="I57" s="6">
        <v>2</v>
      </c>
      <c r="J57" s="6">
        <f>IFERROR(COUNTIF(InscriptionsTable[Course ID],[@ID]),0)</f>
        <v>0</v>
      </c>
      <c r="K57" s="6">
        <f>[@[Places passagers]]-[@[Nb passagers]]</f>
        <v>0</v>
      </c>
      <c r="M57" s="8">
        <f>IFERROR([@[Distance (km)]]*CoutKm + VLOOKUP($D57,TrajetsTable[[Trajet ID]:[Notes]],5,FALSE),0)</f>
        <v>0</v>
      </c>
      <c r="N57" s="11">
        <f>[@[Nb passagers]]*[@[Distance (km)]]*CO2gkm/1000</f>
        <v>0</v>
      </c>
    </row>
    <row r="58" spans="1:14">
      <c r="A58" s="6" t="s">
        <v>150</v>
      </c>
      <c r="B58" s="6"/>
      <c r="E58" s="4">
        <f>IFERROR(VLOOKUP($D58,TrajetsTable[[Trajet ID]:[Notes]],2,FALSE),"")</f>
        <v>0</v>
      </c>
      <c r="F58" s="4">
        <f>IFERROR(VLOOKUP($D58,TrajetsTable[[Trajet ID]:[Notes]],3,FALSE),"")</f>
        <v>0</v>
      </c>
      <c r="G58" s="7">
        <f>IFERROR(VLOOKUP($D58,TrajetsTable[[Trajet ID]:[Notes]],4,FALSE),0)</f>
        <v>0</v>
      </c>
      <c r="I58" s="6">
        <v>2</v>
      </c>
      <c r="J58" s="6">
        <f>IFERROR(COUNTIF(InscriptionsTable[Course ID],[@ID]),0)</f>
        <v>0</v>
      </c>
      <c r="K58" s="6">
        <f>[@[Places passagers]]-[@[Nb passagers]]</f>
        <v>0</v>
      </c>
      <c r="M58" s="8">
        <f>IFERROR([@[Distance (km)]]*CoutKm + VLOOKUP($D58,TrajetsTable[[Trajet ID]:[Notes]],5,FALSE),0)</f>
        <v>0</v>
      </c>
      <c r="N58" s="11">
        <f>[@[Nb passagers]]*[@[Distance (km)]]*CO2gkm/1000</f>
        <v>0</v>
      </c>
    </row>
    <row r="59" spans="1:14">
      <c r="A59" s="6" t="s">
        <v>151</v>
      </c>
      <c r="B59" s="6"/>
      <c r="E59" s="4">
        <f>IFERROR(VLOOKUP($D59,TrajetsTable[[Trajet ID]:[Notes]],2,FALSE),"")</f>
        <v>0</v>
      </c>
      <c r="F59" s="4">
        <f>IFERROR(VLOOKUP($D59,TrajetsTable[[Trajet ID]:[Notes]],3,FALSE),"")</f>
        <v>0</v>
      </c>
      <c r="G59" s="7">
        <f>IFERROR(VLOOKUP($D59,TrajetsTable[[Trajet ID]:[Notes]],4,FALSE),0)</f>
        <v>0</v>
      </c>
      <c r="I59" s="6">
        <v>2</v>
      </c>
      <c r="J59" s="6">
        <f>IFERROR(COUNTIF(InscriptionsTable[Course ID],[@ID]),0)</f>
        <v>0</v>
      </c>
      <c r="K59" s="6">
        <f>[@[Places passagers]]-[@[Nb passagers]]</f>
        <v>0</v>
      </c>
      <c r="M59" s="8">
        <f>IFERROR([@[Distance (km)]]*CoutKm + VLOOKUP($D59,TrajetsTable[[Trajet ID]:[Notes]],5,FALSE),0)</f>
        <v>0</v>
      </c>
      <c r="N59" s="11">
        <f>[@[Nb passagers]]*[@[Distance (km)]]*CO2gkm/1000</f>
        <v>0</v>
      </c>
    </row>
    <row r="60" spans="1:14">
      <c r="A60" s="6" t="s">
        <v>152</v>
      </c>
      <c r="B60" s="6"/>
      <c r="E60" s="4">
        <f>IFERROR(VLOOKUP($D60,TrajetsTable[[Trajet ID]:[Notes]],2,FALSE),"")</f>
        <v>0</v>
      </c>
      <c r="F60" s="4">
        <f>IFERROR(VLOOKUP($D60,TrajetsTable[[Trajet ID]:[Notes]],3,FALSE),"")</f>
        <v>0</v>
      </c>
      <c r="G60" s="7">
        <f>IFERROR(VLOOKUP($D60,TrajetsTable[[Trajet ID]:[Notes]],4,FALSE),0)</f>
        <v>0</v>
      </c>
      <c r="I60" s="6">
        <v>2</v>
      </c>
      <c r="J60" s="6">
        <f>IFERROR(COUNTIF(InscriptionsTable[Course ID],[@ID]),0)</f>
        <v>0</v>
      </c>
      <c r="K60" s="6">
        <f>[@[Places passagers]]-[@[Nb passagers]]</f>
        <v>0</v>
      </c>
      <c r="M60" s="8">
        <f>IFERROR([@[Distance (km)]]*CoutKm + VLOOKUP($D60,TrajetsTable[[Trajet ID]:[Notes]],5,FALSE),0)</f>
        <v>0</v>
      </c>
      <c r="N60" s="11">
        <f>[@[Nb passagers]]*[@[Distance (km)]]*CO2gkm/1000</f>
        <v>0</v>
      </c>
    </row>
    <row r="61" spans="1:14">
      <c r="A61" s="6" t="s">
        <v>153</v>
      </c>
      <c r="B61" s="6"/>
      <c r="E61" s="4">
        <f>IFERROR(VLOOKUP($D61,TrajetsTable[[Trajet ID]:[Notes]],2,FALSE),"")</f>
        <v>0</v>
      </c>
      <c r="F61" s="4">
        <f>IFERROR(VLOOKUP($D61,TrajetsTable[[Trajet ID]:[Notes]],3,FALSE),"")</f>
        <v>0</v>
      </c>
      <c r="G61" s="7">
        <f>IFERROR(VLOOKUP($D61,TrajetsTable[[Trajet ID]:[Notes]],4,FALSE),0)</f>
        <v>0</v>
      </c>
      <c r="I61" s="6">
        <v>2</v>
      </c>
      <c r="J61" s="6">
        <f>IFERROR(COUNTIF(InscriptionsTable[Course ID],[@ID]),0)</f>
        <v>0</v>
      </c>
      <c r="K61" s="6">
        <f>[@[Places passagers]]-[@[Nb passagers]]</f>
        <v>0</v>
      </c>
      <c r="M61" s="8">
        <f>IFERROR([@[Distance (km)]]*CoutKm + VLOOKUP($D61,TrajetsTable[[Trajet ID]:[Notes]],5,FALSE),0)</f>
        <v>0</v>
      </c>
      <c r="N61" s="11">
        <f>[@[Nb passagers]]*[@[Distance (km)]]*CO2gkm/1000</f>
        <v>0</v>
      </c>
    </row>
    <row r="62" spans="1:14">
      <c r="A62" s="6" t="s">
        <v>154</v>
      </c>
      <c r="B62" s="6"/>
      <c r="E62" s="4">
        <f>IFERROR(VLOOKUP($D62,TrajetsTable[[Trajet ID]:[Notes]],2,FALSE),"")</f>
        <v>0</v>
      </c>
      <c r="F62" s="4">
        <f>IFERROR(VLOOKUP($D62,TrajetsTable[[Trajet ID]:[Notes]],3,FALSE),"")</f>
        <v>0</v>
      </c>
      <c r="G62" s="7">
        <f>IFERROR(VLOOKUP($D62,TrajetsTable[[Trajet ID]:[Notes]],4,FALSE),0)</f>
        <v>0</v>
      </c>
      <c r="I62" s="6">
        <v>2</v>
      </c>
      <c r="J62" s="6">
        <f>IFERROR(COUNTIF(InscriptionsTable[Course ID],[@ID]),0)</f>
        <v>0</v>
      </c>
      <c r="K62" s="6">
        <f>[@[Places passagers]]-[@[Nb passagers]]</f>
        <v>0</v>
      </c>
      <c r="M62" s="8">
        <f>IFERROR([@[Distance (km)]]*CoutKm + VLOOKUP($D62,TrajetsTable[[Trajet ID]:[Notes]],5,FALSE),0)</f>
        <v>0</v>
      </c>
      <c r="N62" s="11">
        <f>[@[Nb passagers]]*[@[Distance (km)]]*CO2gkm/1000</f>
        <v>0</v>
      </c>
    </row>
    <row r="63" spans="1:14">
      <c r="A63" s="6" t="s">
        <v>155</v>
      </c>
      <c r="B63" s="6"/>
      <c r="E63" s="4">
        <f>IFERROR(VLOOKUP($D63,TrajetsTable[[Trajet ID]:[Notes]],2,FALSE),"")</f>
        <v>0</v>
      </c>
      <c r="F63" s="4">
        <f>IFERROR(VLOOKUP($D63,TrajetsTable[[Trajet ID]:[Notes]],3,FALSE),"")</f>
        <v>0</v>
      </c>
      <c r="G63" s="7">
        <f>IFERROR(VLOOKUP($D63,TrajetsTable[[Trajet ID]:[Notes]],4,FALSE),0)</f>
        <v>0</v>
      </c>
      <c r="I63" s="6">
        <v>2</v>
      </c>
      <c r="J63" s="6">
        <f>IFERROR(COUNTIF(InscriptionsTable[Course ID],[@ID]),0)</f>
        <v>0</v>
      </c>
      <c r="K63" s="6">
        <f>[@[Places passagers]]-[@[Nb passagers]]</f>
        <v>0</v>
      </c>
      <c r="M63" s="8">
        <f>IFERROR([@[Distance (km)]]*CoutKm + VLOOKUP($D63,TrajetsTable[[Trajet ID]:[Notes]],5,FALSE),0)</f>
        <v>0</v>
      </c>
      <c r="N63" s="11">
        <f>[@[Nb passagers]]*[@[Distance (km)]]*CO2gkm/1000</f>
        <v>0</v>
      </c>
    </row>
    <row r="64" spans="1:14">
      <c r="A64" s="6" t="s">
        <v>156</v>
      </c>
      <c r="B64" s="6"/>
      <c r="E64" s="4">
        <f>IFERROR(VLOOKUP($D64,TrajetsTable[[Trajet ID]:[Notes]],2,FALSE),"")</f>
        <v>0</v>
      </c>
      <c r="F64" s="4">
        <f>IFERROR(VLOOKUP($D64,TrajetsTable[[Trajet ID]:[Notes]],3,FALSE),"")</f>
        <v>0</v>
      </c>
      <c r="G64" s="7">
        <f>IFERROR(VLOOKUP($D64,TrajetsTable[[Trajet ID]:[Notes]],4,FALSE),0)</f>
        <v>0</v>
      </c>
      <c r="I64" s="6">
        <v>2</v>
      </c>
      <c r="J64" s="6">
        <f>IFERROR(COUNTIF(InscriptionsTable[Course ID],[@ID]),0)</f>
        <v>0</v>
      </c>
      <c r="K64" s="6">
        <f>[@[Places passagers]]-[@[Nb passagers]]</f>
        <v>0</v>
      </c>
      <c r="M64" s="8">
        <f>IFERROR([@[Distance (km)]]*CoutKm + VLOOKUP($D64,TrajetsTable[[Trajet ID]:[Notes]],5,FALSE),0)</f>
        <v>0</v>
      </c>
      <c r="N64" s="11">
        <f>[@[Nb passagers]]*[@[Distance (km)]]*CO2gkm/1000</f>
        <v>0</v>
      </c>
    </row>
    <row r="65" spans="1:14">
      <c r="A65" s="6" t="s">
        <v>157</v>
      </c>
      <c r="B65" s="6"/>
      <c r="E65" s="4">
        <f>IFERROR(VLOOKUP($D65,TrajetsTable[[Trajet ID]:[Notes]],2,FALSE),"")</f>
        <v>0</v>
      </c>
      <c r="F65" s="4">
        <f>IFERROR(VLOOKUP($D65,TrajetsTable[[Trajet ID]:[Notes]],3,FALSE),"")</f>
        <v>0</v>
      </c>
      <c r="G65" s="7">
        <f>IFERROR(VLOOKUP($D65,TrajetsTable[[Trajet ID]:[Notes]],4,FALSE),0)</f>
        <v>0</v>
      </c>
      <c r="I65" s="6">
        <v>2</v>
      </c>
      <c r="J65" s="6">
        <f>IFERROR(COUNTIF(InscriptionsTable[Course ID],[@ID]),0)</f>
        <v>0</v>
      </c>
      <c r="K65" s="6">
        <f>[@[Places passagers]]-[@[Nb passagers]]</f>
        <v>0</v>
      </c>
      <c r="M65" s="8">
        <f>IFERROR([@[Distance (km)]]*CoutKm + VLOOKUP($D65,TrajetsTable[[Trajet ID]:[Notes]],5,FALSE),0)</f>
        <v>0</v>
      </c>
      <c r="N65" s="11">
        <f>[@[Nb passagers]]*[@[Distance (km)]]*CO2gkm/1000</f>
        <v>0</v>
      </c>
    </row>
    <row r="66" spans="1:14">
      <c r="A66" s="6" t="s">
        <v>158</v>
      </c>
      <c r="B66" s="6"/>
      <c r="E66" s="4">
        <f>IFERROR(VLOOKUP($D66,TrajetsTable[[Trajet ID]:[Notes]],2,FALSE),"")</f>
        <v>0</v>
      </c>
      <c r="F66" s="4">
        <f>IFERROR(VLOOKUP($D66,TrajetsTable[[Trajet ID]:[Notes]],3,FALSE),"")</f>
        <v>0</v>
      </c>
      <c r="G66" s="7">
        <f>IFERROR(VLOOKUP($D66,TrajetsTable[[Trajet ID]:[Notes]],4,FALSE),0)</f>
        <v>0</v>
      </c>
      <c r="I66" s="6">
        <v>2</v>
      </c>
      <c r="J66" s="6">
        <f>IFERROR(COUNTIF(InscriptionsTable[Course ID],[@ID]),0)</f>
        <v>0</v>
      </c>
      <c r="K66" s="6">
        <f>[@[Places passagers]]-[@[Nb passagers]]</f>
        <v>0</v>
      </c>
      <c r="M66" s="8">
        <f>IFERROR([@[Distance (km)]]*CoutKm + VLOOKUP($D66,TrajetsTable[[Trajet ID]:[Notes]],5,FALSE),0)</f>
        <v>0</v>
      </c>
      <c r="N66" s="11">
        <f>[@[Nb passagers]]*[@[Distance (km)]]*CO2gkm/1000</f>
        <v>0</v>
      </c>
    </row>
    <row r="67" spans="1:14">
      <c r="A67" s="6" t="s">
        <v>159</v>
      </c>
      <c r="B67" s="6"/>
      <c r="E67" s="4">
        <f>IFERROR(VLOOKUP($D67,TrajetsTable[[Trajet ID]:[Notes]],2,FALSE),"")</f>
        <v>0</v>
      </c>
      <c r="F67" s="4">
        <f>IFERROR(VLOOKUP($D67,TrajetsTable[[Trajet ID]:[Notes]],3,FALSE),"")</f>
        <v>0</v>
      </c>
      <c r="G67" s="7">
        <f>IFERROR(VLOOKUP($D67,TrajetsTable[[Trajet ID]:[Notes]],4,FALSE),0)</f>
        <v>0</v>
      </c>
      <c r="I67" s="6">
        <v>2</v>
      </c>
      <c r="J67" s="6">
        <f>IFERROR(COUNTIF(InscriptionsTable[Course ID],[@ID]),0)</f>
        <v>0</v>
      </c>
      <c r="K67" s="6">
        <f>[@[Places passagers]]-[@[Nb passagers]]</f>
        <v>0</v>
      </c>
      <c r="M67" s="8">
        <f>IFERROR([@[Distance (km)]]*CoutKm + VLOOKUP($D67,TrajetsTable[[Trajet ID]:[Notes]],5,FALSE),0)</f>
        <v>0</v>
      </c>
      <c r="N67" s="11">
        <f>[@[Nb passagers]]*[@[Distance (km)]]*CO2gkm/1000</f>
        <v>0</v>
      </c>
    </row>
    <row r="68" spans="1:14">
      <c r="A68" s="6" t="s">
        <v>160</v>
      </c>
      <c r="B68" s="6"/>
      <c r="E68" s="4">
        <f>IFERROR(VLOOKUP($D68,TrajetsTable[[Trajet ID]:[Notes]],2,FALSE),"")</f>
        <v>0</v>
      </c>
      <c r="F68" s="4">
        <f>IFERROR(VLOOKUP($D68,TrajetsTable[[Trajet ID]:[Notes]],3,FALSE),"")</f>
        <v>0</v>
      </c>
      <c r="G68" s="7">
        <f>IFERROR(VLOOKUP($D68,TrajetsTable[[Trajet ID]:[Notes]],4,FALSE),0)</f>
        <v>0</v>
      </c>
      <c r="I68" s="6">
        <v>2</v>
      </c>
      <c r="J68" s="6">
        <f>IFERROR(COUNTIF(InscriptionsTable[Course ID],[@ID]),0)</f>
        <v>0</v>
      </c>
      <c r="K68" s="6">
        <f>[@[Places passagers]]-[@[Nb passagers]]</f>
        <v>0</v>
      </c>
      <c r="M68" s="8">
        <f>IFERROR([@[Distance (km)]]*CoutKm + VLOOKUP($D68,TrajetsTable[[Trajet ID]:[Notes]],5,FALSE),0)</f>
        <v>0</v>
      </c>
      <c r="N68" s="11">
        <f>[@[Nb passagers]]*[@[Distance (km)]]*CO2gkm/1000</f>
        <v>0</v>
      </c>
    </row>
    <row r="69" spans="1:14">
      <c r="A69" s="6" t="s">
        <v>161</v>
      </c>
      <c r="B69" s="6"/>
      <c r="E69" s="4">
        <f>IFERROR(VLOOKUP($D69,TrajetsTable[[Trajet ID]:[Notes]],2,FALSE),"")</f>
        <v>0</v>
      </c>
      <c r="F69" s="4">
        <f>IFERROR(VLOOKUP($D69,TrajetsTable[[Trajet ID]:[Notes]],3,FALSE),"")</f>
        <v>0</v>
      </c>
      <c r="G69" s="7">
        <f>IFERROR(VLOOKUP($D69,TrajetsTable[[Trajet ID]:[Notes]],4,FALSE),0)</f>
        <v>0</v>
      </c>
      <c r="I69" s="6">
        <v>2</v>
      </c>
      <c r="J69" s="6">
        <f>IFERROR(COUNTIF(InscriptionsTable[Course ID],[@ID]),0)</f>
        <v>0</v>
      </c>
      <c r="K69" s="6">
        <f>[@[Places passagers]]-[@[Nb passagers]]</f>
        <v>0</v>
      </c>
      <c r="M69" s="8">
        <f>IFERROR([@[Distance (km)]]*CoutKm + VLOOKUP($D69,TrajetsTable[[Trajet ID]:[Notes]],5,FALSE),0)</f>
        <v>0</v>
      </c>
      <c r="N69" s="11">
        <f>[@[Nb passagers]]*[@[Distance (km)]]*CO2gkm/1000</f>
        <v>0</v>
      </c>
    </row>
    <row r="70" spans="1:14">
      <c r="A70" s="6" t="s">
        <v>162</v>
      </c>
      <c r="B70" s="6"/>
      <c r="E70" s="4">
        <f>IFERROR(VLOOKUP($D70,TrajetsTable[[Trajet ID]:[Notes]],2,FALSE),"")</f>
        <v>0</v>
      </c>
      <c r="F70" s="4">
        <f>IFERROR(VLOOKUP($D70,TrajetsTable[[Trajet ID]:[Notes]],3,FALSE),"")</f>
        <v>0</v>
      </c>
      <c r="G70" s="7">
        <f>IFERROR(VLOOKUP($D70,TrajetsTable[[Trajet ID]:[Notes]],4,FALSE),0)</f>
        <v>0</v>
      </c>
      <c r="I70" s="6">
        <v>2</v>
      </c>
      <c r="J70" s="6">
        <f>IFERROR(COUNTIF(InscriptionsTable[Course ID],[@ID]),0)</f>
        <v>0</v>
      </c>
      <c r="K70" s="6">
        <f>[@[Places passagers]]-[@[Nb passagers]]</f>
        <v>0</v>
      </c>
      <c r="M70" s="8">
        <f>IFERROR([@[Distance (km)]]*CoutKm + VLOOKUP($D70,TrajetsTable[[Trajet ID]:[Notes]],5,FALSE),0)</f>
        <v>0</v>
      </c>
      <c r="N70" s="11">
        <f>[@[Nb passagers]]*[@[Distance (km)]]*CO2gkm/1000</f>
        <v>0</v>
      </c>
    </row>
    <row r="71" spans="1:14">
      <c r="A71" s="6" t="s">
        <v>163</v>
      </c>
      <c r="B71" s="6"/>
      <c r="E71" s="4">
        <f>IFERROR(VLOOKUP($D71,TrajetsTable[[Trajet ID]:[Notes]],2,FALSE),"")</f>
        <v>0</v>
      </c>
      <c r="F71" s="4">
        <f>IFERROR(VLOOKUP($D71,TrajetsTable[[Trajet ID]:[Notes]],3,FALSE),"")</f>
        <v>0</v>
      </c>
      <c r="G71" s="7">
        <f>IFERROR(VLOOKUP($D71,TrajetsTable[[Trajet ID]:[Notes]],4,FALSE),0)</f>
        <v>0</v>
      </c>
      <c r="I71" s="6">
        <v>2</v>
      </c>
      <c r="J71" s="6">
        <f>IFERROR(COUNTIF(InscriptionsTable[Course ID],[@ID]),0)</f>
        <v>0</v>
      </c>
      <c r="K71" s="6">
        <f>[@[Places passagers]]-[@[Nb passagers]]</f>
        <v>0</v>
      </c>
      <c r="M71" s="8">
        <f>IFERROR([@[Distance (km)]]*CoutKm + VLOOKUP($D71,TrajetsTable[[Trajet ID]:[Notes]],5,FALSE),0)</f>
        <v>0</v>
      </c>
      <c r="N71" s="11">
        <f>[@[Nb passagers]]*[@[Distance (km)]]*CO2gkm/1000</f>
        <v>0</v>
      </c>
    </row>
    <row r="72" spans="1:14">
      <c r="A72" s="6" t="s">
        <v>164</v>
      </c>
      <c r="B72" s="6"/>
      <c r="E72" s="4">
        <f>IFERROR(VLOOKUP($D72,TrajetsTable[[Trajet ID]:[Notes]],2,FALSE),"")</f>
        <v>0</v>
      </c>
      <c r="F72" s="4">
        <f>IFERROR(VLOOKUP($D72,TrajetsTable[[Trajet ID]:[Notes]],3,FALSE),"")</f>
        <v>0</v>
      </c>
      <c r="G72" s="7">
        <f>IFERROR(VLOOKUP($D72,TrajetsTable[[Trajet ID]:[Notes]],4,FALSE),0)</f>
        <v>0</v>
      </c>
      <c r="I72" s="6">
        <v>2</v>
      </c>
      <c r="J72" s="6">
        <f>IFERROR(COUNTIF(InscriptionsTable[Course ID],[@ID]),0)</f>
        <v>0</v>
      </c>
      <c r="K72" s="6">
        <f>[@[Places passagers]]-[@[Nb passagers]]</f>
        <v>0</v>
      </c>
      <c r="M72" s="8">
        <f>IFERROR([@[Distance (km)]]*CoutKm + VLOOKUP($D72,TrajetsTable[[Trajet ID]:[Notes]],5,FALSE),0)</f>
        <v>0</v>
      </c>
      <c r="N72" s="11">
        <f>[@[Nb passagers]]*[@[Distance (km)]]*CO2gkm/1000</f>
        <v>0</v>
      </c>
    </row>
    <row r="73" spans="1:14">
      <c r="A73" s="6" t="s">
        <v>165</v>
      </c>
      <c r="B73" s="6"/>
      <c r="E73" s="4">
        <f>IFERROR(VLOOKUP($D73,TrajetsTable[[Trajet ID]:[Notes]],2,FALSE),"")</f>
        <v>0</v>
      </c>
      <c r="F73" s="4">
        <f>IFERROR(VLOOKUP($D73,TrajetsTable[[Trajet ID]:[Notes]],3,FALSE),"")</f>
        <v>0</v>
      </c>
      <c r="G73" s="7">
        <f>IFERROR(VLOOKUP($D73,TrajetsTable[[Trajet ID]:[Notes]],4,FALSE),0)</f>
        <v>0</v>
      </c>
      <c r="I73" s="6">
        <v>2</v>
      </c>
      <c r="J73" s="6">
        <f>IFERROR(COUNTIF(InscriptionsTable[Course ID],[@ID]),0)</f>
        <v>0</v>
      </c>
      <c r="K73" s="6">
        <f>[@[Places passagers]]-[@[Nb passagers]]</f>
        <v>0</v>
      </c>
      <c r="M73" s="8">
        <f>IFERROR([@[Distance (km)]]*CoutKm + VLOOKUP($D73,TrajetsTable[[Trajet ID]:[Notes]],5,FALSE),0)</f>
        <v>0</v>
      </c>
      <c r="N73" s="11">
        <f>[@[Nb passagers]]*[@[Distance (km)]]*CO2gkm/1000</f>
        <v>0</v>
      </c>
    </row>
    <row r="74" spans="1:14">
      <c r="A74" s="6" t="s">
        <v>166</v>
      </c>
      <c r="B74" s="6"/>
      <c r="E74" s="4">
        <f>IFERROR(VLOOKUP($D74,TrajetsTable[[Trajet ID]:[Notes]],2,FALSE),"")</f>
        <v>0</v>
      </c>
      <c r="F74" s="4">
        <f>IFERROR(VLOOKUP($D74,TrajetsTable[[Trajet ID]:[Notes]],3,FALSE),"")</f>
        <v>0</v>
      </c>
      <c r="G74" s="7">
        <f>IFERROR(VLOOKUP($D74,TrajetsTable[[Trajet ID]:[Notes]],4,FALSE),0)</f>
        <v>0</v>
      </c>
      <c r="I74" s="6">
        <v>2</v>
      </c>
      <c r="J74" s="6">
        <f>IFERROR(COUNTIF(InscriptionsTable[Course ID],[@ID]),0)</f>
        <v>0</v>
      </c>
      <c r="K74" s="6">
        <f>[@[Places passagers]]-[@[Nb passagers]]</f>
        <v>0</v>
      </c>
      <c r="M74" s="8">
        <f>IFERROR([@[Distance (km)]]*CoutKm + VLOOKUP($D74,TrajetsTable[[Trajet ID]:[Notes]],5,FALSE),0)</f>
        <v>0</v>
      </c>
      <c r="N74" s="11">
        <f>[@[Nb passagers]]*[@[Distance (km)]]*CO2gkm/1000</f>
        <v>0</v>
      </c>
    </row>
    <row r="75" spans="1:14">
      <c r="A75" s="6" t="s">
        <v>167</v>
      </c>
      <c r="B75" s="6"/>
      <c r="E75" s="4">
        <f>IFERROR(VLOOKUP($D75,TrajetsTable[[Trajet ID]:[Notes]],2,FALSE),"")</f>
        <v>0</v>
      </c>
      <c r="F75" s="4">
        <f>IFERROR(VLOOKUP($D75,TrajetsTable[[Trajet ID]:[Notes]],3,FALSE),"")</f>
        <v>0</v>
      </c>
      <c r="G75" s="7">
        <f>IFERROR(VLOOKUP($D75,TrajetsTable[[Trajet ID]:[Notes]],4,FALSE),0)</f>
        <v>0</v>
      </c>
      <c r="I75" s="6">
        <v>2</v>
      </c>
      <c r="J75" s="6">
        <f>IFERROR(COUNTIF(InscriptionsTable[Course ID],[@ID]),0)</f>
        <v>0</v>
      </c>
      <c r="K75" s="6">
        <f>[@[Places passagers]]-[@[Nb passagers]]</f>
        <v>0</v>
      </c>
      <c r="M75" s="8">
        <f>IFERROR([@[Distance (km)]]*CoutKm + VLOOKUP($D75,TrajetsTable[[Trajet ID]:[Notes]],5,FALSE),0)</f>
        <v>0</v>
      </c>
      <c r="N75" s="11">
        <f>[@[Nb passagers]]*[@[Distance (km)]]*CO2gkm/1000</f>
        <v>0</v>
      </c>
    </row>
    <row r="76" spans="1:14">
      <c r="A76" s="6" t="s">
        <v>168</v>
      </c>
      <c r="B76" s="6"/>
      <c r="E76" s="4">
        <f>IFERROR(VLOOKUP($D76,TrajetsTable[[Trajet ID]:[Notes]],2,FALSE),"")</f>
        <v>0</v>
      </c>
      <c r="F76" s="4">
        <f>IFERROR(VLOOKUP($D76,TrajetsTable[[Trajet ID]:[Notes]],3,FALSE),"")</f>
        <v>0</v>
      </c>
      <c r="G76" s="7">
        <f>IFERROR(VLOOKUP($D76,TrajetsTable[[Trajet ID]:[Notes]],4,FALSE),0)</f>
        <v>0</v>
      </c>
      <c r="I76" s="6">
        <v>2</v>
      </c>
      <c r="J76" s="6">
        <f>IFERROR(COUNTIF(InscriptionsTable[Course ID],[@ID]),0)</f>
        <v>0</v>
      </c>
      <c r="K76" s="6">
        <f>[@[Places passagers]]-[@[Nb passagers]]</f>
        <v>0</v>
      </c>
      <c r="M76" s="8">
        <f>IFERROR([@[Distance (km)]]*CoutKm + VLOOKUP($D76,TrajetsTable[[Trajet ID]:[Notes]],5,FALSE),0)</f>
        <v>0</v>
      </c>
      <c r="N76" s="11">
        <f>[@[Nb passagers]]*[@[Distance (km)]]*CO2gkm/1000</f>
        <v>0</v>
      </c>
    </row>
    <row r="77" spans="1:14">
      <c r="A77" s="6" t="s">
        <v>169</v>
      </c>
      <c r="B77" s="6"/>
      <c r="E77" s="4">
        <f>IFERROR(VLOOKUP($D77,TrajetsTable[[Trajet ID]:[Notes]],2,FALSE),"")</f>
        <v>0</v>
      </c>
      <c r="F77" s="4">
        <f>IFERROR(VLOOKUP($D77,TrajetsTable[[Trajet ID]:[Notes]],3,FALSE),"")</f>
        <v>0</v>
      </c>
      <c r="G77" s="7">
        <f>IFERROR(VLOOKUP($D77,TrajetsTable[[Trajet ID]:[Notes]],4,FALSE),0)</f>
        <v>0</v>
      </c>
      <c r="I77" s="6">
        <v>2</v>
      </c>
      <c r="J77" s="6">
        <f>IFERROR(COUNTIF(InscriptionsTable[Course ID],[@ID]),0)</f>
        <v>0</v>
      </c>
      <c r="K77" s="6">
        <f>[@[Places passagers]]-[@[Nb passagers]]</f>
        <v>0</v>
      </c>
      <c r="M77" s="8">
        <f>IFERROR([@[Distance (km)]]*CoutKm + VLOOKUP($D77,TrajetsTable[[Trajet ID]:[Notes]],5,FALSE),0)</f>
        <v>0</v>
      </c>
      <c r="N77" s="11">
        <f>[@[Nb passagers]]*[@[Distance (km)]]*CO2gkm/1000</f>
        <v>0</v>
      </c>
    </row>
    <row r="78" spans="1:14">
      <c r="A78" s="6" t="s">
        <v>170</v>
      </c>
      <c r="B78" s="6"/>
      <c r="E78" s="4">
        <f>IFERROR(VLOOKUP($D78,TrajetsTable[[Trajet ID]:[Notes]],2,FALSE),"")</f>
        <v>0</v>
      </c>
      <c r="F78" s="4">
        <f>IFERROR(VLOOKUP($D78,TrajetsTable[[Trajet ID]:[Notes]],3,FALSE),"")</f>
        <v>0</v>
      </c>
      <c r="G78" s="7">
        <f>IFERROR(VLOOKUP($D78,TrajetsTable[[Trajet ID]:[Notes]],4,FALSE),0)</f>
        <v>0</v>
      </c>
      <c r="I78" s="6">
        <v>2</v>
      </c>
      <c r="J78" s="6">
        <f>IFERROR(COUNTIF(InscriptionsTable[Course ID],[@ID]),0)</f>
        <v>0</v>
      </c>
      <c r="K78" s="6">
        <f>[@[Places passagers]]-[@[Nb passagers]]</f>
        <v>0</v>
      </c>
      <c r="M78" s="8">
        <f>IFERROR([@[Distance (km)]]*CoutKm + VLOOKUP($D78,TrajetsTable[[Trajet ID]:[Notes]],5,FALSE),0)</f>
        <v>0</v>
      </c>
      <c r="N78" s="11">
        <f>[@[Nb passagers]]*[@[Distance (km)]]*CO2gkm/1000</f>
        <v>0</v>
      </c>
    </row>
    <row r="79" spans="1:14">
      <c r="A79" s="6" t="s">
        <v>171</v>
      </c>
      <c r="B79" s="6"/>
      <c r="E79" s="4">
        <f>IFERROR(VLOOKUP($D79,TrajetsTable[[Trajet ID]:[Notes]],2,FALSE),"")</f>
        <v>0</v>
      </c>
      <c r="F79" s="4">
        <f>IFERROR(VLOOKUP($D79,TrajetsTable[[Trajet ID]:[Notes]],3,FALSE),"")</f>
        <v>0</v>
      </c>
      <c r="G79" s="7">
        <f>IFERROR(VLOOKUP($D79,TrajetsTable[[Trajet ID]:[Notes]],4,FALSE),0)</f>
        <v>0</v>
      </c>
      <c r="I79" s="6">
        <v>2</v>
      </c>
      <c r="J79" s="6">
        <f>IFERROR(COUNTIF(InscriptionsTable[Course ID],[@ID]),0)</f>
        <v>0</v>
      </c>
      <c r="K79" s="6">
        <f>[@[Places passagers]]-[@[Nb passagers]]</f>
        <v>0</v>
      </c>
      <c r="M79" s="8">
        <f>IFERROR([@[Distance (km)]]*CoutKm + VLOOKUP($D79,TrajetsTable[[Trajet ID]:[Notes]],5,FALSE),0)</f>
        <v>0</v>
      </c>
      <c r="N79" s="11">
        <f>[@[Nb passagers]]*[@[Distance (km)]]*CO2gkm/1000</f>
        <v>0</v>
      </c>
    </row>
    <row r="80" spans="1:14">
      <c r="A80" s="6" t="s">
        <v>172</v>
      </c>
      <c r="B80" s="6"/>
      <c r="E80" s="4">
        <f>IFERROR(VLOOKUP($D80,TrajetsTable[[Trajet ID]:[Notes]],2,FALSE),"")</f>
        <v>0</v>
      </c>
      <c r="F80" s="4">
        <f>IFERROR(VLOOKUP($D80,TrajetsTable[[Trajet ID]:[Notes]],3,FALSE),"")</f>
        <v>0</v>
      </c>
      <c r="G80" s="7">
        <f>IFERROR(VLOOKUP($D80,TrajetsTable[[Trajet ID]:[Notes]],4,FALSE),0)</f>
        <v>0</v>
      </c>
      <c r="I80" s="6">
        <v>2</v>
      </c>
      <c r="J80" s="6">
        <f>IFERROR(COUNTIF(InscriptionsTable[Course ID],[@ID]),0)</f>
        <v>0</v>
      </c>
      <c r="K80" s="6">
        <f>[@[Places passagers]]-[@[Nb passagers]]</f>
        <v>0</v>
      </c>
      <c r="M80" s="8">
        <f>IFERROR([@[Distance (km)]]*CoutKm + VLOOKUP($D80,TrajetsTable[[Trajet ID]:[Notes]],5,FALSE),0)</f>
        <v>0</v>
      </c>
      <c r="N80" s="11">
        <f>[@[Nb passagers]]*[@[Distance (km)]]*CO2gkm/1000</f>
        <v>0</v>
      </c>
    </row>
    <row r="81" spans="1:14">
      <c r="A81" s="6" t="s">
        <v>173</v>
      </c>
      <c r="B81" s="6"/>
      <c r="E81" s="4">
        <f>IFERROR(VLOOKUP($D81,TrajetsTable[[Trajet ID]:[Notes]],2,FALSE),"")</f>
        <v>0</v>
      </c>
      <c r="F81" s="4">
        <f>IFERROR(VLOOKUP($D81,TrajetsTable[[Trajet ID]:[Notes]],3,FALSE),"")</f>
        <v>0</v>
      </c>
      <c r="G81" s="7">
        <f>IFERROR(VLOOKUP($D81,TrajetsTable[[Trajet ID]:[Notes]],4,FALSE),0)</f>
        <v>0</v>
      </c>
      <c r="I81" s="6">
        <v>2</v>
      </c>
      <c r="J81" s="6">
        <f>IFERROR(COUNTIF(InscriptionsTable[Course ID],[@ID]),0)</f>
        <v>0</v>
      </c>
      <c r="K81" s="6">
        <f>[@[Places passagers]]-[@[Nb passagers]]</f>
        <v>0</v>
      </c>
      <c r="M81" s="8">
        <f>IFERROR([@[Distance (km)]]*CoutKm + VLOOKUP($D81,TrajetsTable[[Trajet ID]:[Notes]],5,FALSE),0)</f>
        <v>0</v>
      </c>
      <c r="N81" s="11">
        <f>[@[Nb passagers]]*[@[Distance (km)]]*CO2gkm/1000</f>
        <v>0</v>
      </c>
    </row>
    <row r="82" spans="1:14">
      <c r="A82" s="6" t="s">
        <v>174</v>
      </c>
      <c r="B82" s="6"/>
      <c r="E82" s="4">
        <f>IFERROR(VLOOKUP($D82,TrajetsTable[[Trajet ID]:[Notes]],2,FALSE),"")</f>
        <v>0</v>
      </c>
      <c r="F82" s="4">
        <f>IFERROR(VLOOKUP($D82,TrajetsTable[[Trajet ID]:[Notes]],3,FALSE),"")</f>
        <v>0</v>
      </c>
      <c r="G82" s="7">
        <f>IFERROR(VLOOKUP($D82,TrajetsTable[[Trajet ID]:[Notes]],4,FALSE),0)</f>
        <v>0</v>
      </c>
      <c r="I82" s="6">
        <v>2</v>
      </c>
      <c r="J82" s="6">
        <f>IFERROR(COUNTIF(InscriptionsTable[Course ID],[@ID]),0)</f>
        <v>0</v>
      </c>
      <c r="K82" s="6">
        <f>[@[Places passagers]]-[@[Nb passagers]]</f>
        <v>0</v>
      </c>
      <c r="M82" s="8">
        <f>IFERROR([@[Distance (km)]]*CoutKm + VLOOKUP($D82,TrajetsTable[[Trajet ID]:[Notes]],5,FALSE),0)</f>
        <v>0</v>
      </c>
      <c r="N82" s="11">
        <f>[@[Nb passagers]]*[@[Distance (km)]]*CO2gkm/1000</f>
        <v>0</v>
      </c>
    </row>
    <row r="83" spans="1:14">
      <c r="A83" s="6" t="s">
        <v>175</v>
      </c>
      <c r="B83" s="6"/>
      <c r="E83" s="4">
        <f>IFERROR(VLOOKUP($D83,TrajetsTable[[Trajet ID]:[Notes]],2,FALSE),"")</f>
        <v>0</v>
      </c>
      <c r="F83" s="4">
        <f>IFERROR(VLOOKUP($D83,TrajetsTable[[Trajet ID]:[Notes]],3,FALSE),"")</f>
        <v>0</v>
      </c>
      <c r="G83" s="7">
        <f>IFERROR(VLOOKUP($D83,TrajetsTable[[Trajet ID]:[Notes]],4,FALSE),0)</f>
        <v>0</v>
      </c>
      <c r="I83" s="6">
        <v>2</v>
      </c>
      <c r="J83" s="6">
        <f>IFERROR(COUNTIF(InscriptionsTable[Course ID],[@ID]),0)</f>
        <v>0</v>
      </c>
      <c r="K83" s="6">
        <f>[@[Places passagers]]-[@[Nb passagers]]</f>
        <v>0</v>
      </c>
      <c r="M83" s="8">
        <f>IFERROR([@[Distance (km)]]*CoutKm + VLOOKUP($D83,TrajetsTable[[Trajet ID]:[Notes]],5,FALSE),0)</f>
        <v>0</v>
      </c>
      <c r="N83" s="11">
        <f>[@[Nb passagers]]*[@[Distance (km)]]*CO2gkm/1000</f>
        <v>0</v>
      </c>
    </row>
    <row r="84" spans="1:14">
      <c r="A84" s="6" t="s">
        <v>176</v>
      </c>
      <c r="B84" s="6"/>
      <c r="E84" s="4">
        <f>IFERROR(VLOOKUP($D84,TrajetsTable[[Trajet ID]:[Notes]],2,FALSE),"")</f>
        <v>0</v>
      </c>
      <c r="F84" s="4">
        <f>IFERROR(VLOOKUP($D84,TrajetsTable[[Trajet ID]:[Notes]],3,FALSE),"")</f>
        <v>0</v>
      </c>
      <c r="G84" s="7">
        <f>IFERROR(VLOOKUP($D84,TrajetsTable[[Trajet ID]:[Notes]],4,FALSE),0)</f>
        <v>0</v>
      </c>
      <c r="I84" s="6">
        <v>2</v>
      </c>
      <c r="J84" s="6">
        <f>IFERROR(COUNTIF(InscriptionsTable[Course ID],[@ID]),0)</f>
        <v>0</v>
      </c>
      <c r="K84" s="6">
        <f>[@[Places passagers]]-[@[Nb passagers]]</f>
        <v>0</v>
      </c>
      <c r="M84" s="8">
        <f>IFERROR([@[Distance (km)]]*CoutKm + VLOOKUP($D84,TrajetsTable[[Trajet ID]:[Notes]],5,FALSE),0)</f>
        <v>0</v>
      </c>
      <c r="N84" s="11">
        <f>[@[Nb passagers]]*[@[Distance (km)]]*CO2gkm/1000</f>
        <v>0</v>
      </c>
    </row>
    <row r="85" spans="1:14">
      <c r="A85" s="6" t="s">
        <v>177</v>
      </c>
      <c r="B85" s="6"/>
      <c r="E85" s="4">
        <f>IFERROR(VLOOKUP($D85,TrajetsTable[[Trajet ID]:[Notes]],2,FALSE),"")</f>
        <v>0</v>
      </c>
      <c r="F85" s="4">
        <f>IFERROR(VLOOKUP($D85,TrajetsTable[[Trajet ID]:[Notes]],3,FALSE),"")</f>
        <v>0</v>
      </c>
      <c r="G85" s="7">
        <f>IFERROR(VLOOKUP($D85,TrajetsTable[[Trajet ID]:[Notes]],4,FALSE),0)</f>
        <v>0</v>
      </c>
      <c r="I85" s="6">
        <v>2</v>
      </c>
      <c r="J85" s="6">
        <f>IFERROR(COUNTIF(InscriptionsTable[Course ID],[@ID]),0)</f>
        <v>0</v>
      </c>
      <c r="K85" s="6">
        <f>[@[Places passagers]]-[@[Nb passagers]]</f>
        <v>0</v>
      </c>
      <c r="M85" s="8">
        <f>IFERROR([@[Distance (km)]]*CoutKm + VLOOKUP($D85,TrajetsTable[[Trajet ID]:[Notes]],5,FALSE),0)</f>
        <v>0</v>
      </c>
      <c r="N85" s="11">
        <f>[@[Nb passagers]]*[@[Distance (km)]]*CO2gkm/1000</f>
        <v>0</v>
      </c>
    </row>
    <row r="86" spans="1:14">
      <c r="A86" s="6" t="s">
        <v>178</v>
      </c>
      <c r="B86" s="6"/>
      <c r="E86" s="4">
        <f>IFERROR(VLOOKUP($D86,TrajetsTable[[Trajet ID]:[Notes]],2,FALSE),"")</f>
        <v>0</v>
      </c>
      <c r="F86" s="4">
        <f>IFERROR(VLOOKUP($D86,TrajetsTable[[Trajet ID]:[Notes]],3,FALSE),"")</f>
        <v>0</v>
      </c>
      <c r="G86" s="7">
        <f>IFERROR(VLOOKUP($D86,TrajetsTable[[Trajet ID]:[Notes]],4,FALSE),0)</f>
        <v>0</v>
      </c>
      <c r="I86" s="6">
        <v>2</v>
      </c>
      <c r="J86" s="6">
        <f>IFERROR(COUNTIF(InscriptionsTable[Course ID],[@ID]),0)</f>
        <v>0</v>
      </c>
      <c r="K86" s="6">
        <f>[@[Places passagers]]-[@[Nb passagers]]</f>
        <v>0</v>
      </c>
      <c r="M86" s="8">
        <f>IFERROR([@[Distance (km)]]*CoutKm + VLOOKUP($D86,TrajetsTable[[Trajet ID]:[Notes]],5,FALSE),0)</f>
        <v>0</v>
      </c>
      <c r="N86" s="11">
        <f>[@[Nb passagers]]*[@[Distance (km)]]*CO2gkm/1000</f>
        <v>0</v>
      </c>
    </row>
    <row r="87" spans="1:14">
      <c r="A87" s="6" t="s">
        <v>179</v>
      </c>
      <c r="B87" s="6"/>
      <c r="E87" s="4">
        <f>IFERROR(VLOOKUP($D87,TrajetsTable[[Trajet ID]:[Notes]],2,FALSE),"")</f>
        <v>0</v>
      </c>
      <c r="F87" s="4">
        <f>IFERROR(VLOOKUP($D87,TrajetsTable[[Trajet ID]:[Notes]],3,FALSE),"")</f>
        <v>0</v>
      </c>
      <c r="G87" s="7">
        <f>IFERROR(VLOOKUP($D87,TrajetsTable[[Trajet ID]:[Notes]],4,FALSE),0)</f>
        <v>0</v>
      </c>
      <c r="I87" s="6">
        <v>2</v>
      </c>
      <c r="J87" s="6">
        <f>IFERROR(COUNTIF(InscriptionsTable[Course ID],[@ID]),0)</f>
        <v>0</v>
      </c>
      <c r="K87" s="6">
        <f>[@[Places passagers]]-[@[Nb passagers]]</f>
        <v>0</v>
      </c>
      <c r="M87" s="8">
        <f>IFERROR([@[Distance (km)]]*CoutKm + VLOOKUP($D87,TrajetsTable[[Trajet ID]:[Notes]],5,FALSE),0)</f>
        <v>0</v>
      </c>
      <c r="N87" s="11">
        <f>[@[Nb passagers]]*[@[Distance (km)]]*CO2gkm/1000</f>
        <v>0</v>
      </c>
    </row>
    <row r="88" spans="1:14">
      <c r="A88" s="6" t="s">
        <v>180</v>
      </c>
      <c r="B88" s="6"/>
      <c r="E88" s="4">
        <f>IFERROR(VLOOKUP($D88,TrajetsTable[[Trajet ID]:[Notes]],2,FALSE),"")</f>
        <v>0</v>
      </c>
      <c r="F88" s="4">
        <f>IFERROR(VLOOKUP($D88,TrajetsTable[[Trajet ID]:[Notes]],3,FALSE),"")</f>
        <v>0</v>
      </c>
      <c r="G88" s="7">
        <f>IFERROR(VLOOKUP($D88,TrajetsTable[[Trajet ID]:[Notes]],4,FALSE),0)</f>
        <v>0</v>
      </c>
      <c r="I88" s="6">
        <v>2</v>
      </c>
      <c r="J88" s="6">
        <f>IFERROR(COUNTIF(InscriptionsTable[Course ID],[@ID]),0)</f>
        <v>0</v>
      </c>
      <c r="K88" s="6">
        <f>[@[Places passagers]]-[@[Nb passagers]]</f>
        <v>0</v>
      </c>
      <c r="M88" s="8">
        <f>IFERROR([@[Distance (km)]]*CoutKm + VLOOKUP($D88,TrajetsTable[[Trajet ID]:[Notes]],5,FALSE),0)</f>
        <v>0</v>
      </c>
      <c r="N88" s="11">
        <f>[@[Nb passagers]]*[@[Distance (km)]]*CO2gkm/1000</f>
        <v>0</v>
      </c>
    </row>
    <row r="89" spans="1:14">
      <c r="A89" s="6" t="s">
        <v>181</v>
      </c>
      <c r="B89" s="6"/>
      <c r="E89" s="4">
        <f>IFERROR(VLOOKUP($D89,TrajetsTable[[Trajet ID]:[Notes]],2,FALSE),"")</f>
        <v>0</v>
      </c>
      <c r="F89" s="4">
        <f>IFERROR(VLOOKUP($D89,TrajetsTable[[Trajet ID]:[Notes]],3,FALSE),"")</f>
        <v>0</v>
      </c>
      <c r="G89" s="7">
        <f>IFERROR(VLOOKUP($D89,TrajetsTable[[Trajet ID]:[Notes]],4,FALSE),0)</f>
        <v>0</v>
      </c>
      <c r="I89" s="6">
        <v>2</v>
      </c>
      <c r="J89" s="6">
        <f>IFERROR(COUNTIF(InscriptionsTable[Course ID],[@ID]),0)</f>
        <v>0</v>
      </c>
      <c r="K89" s="6">
        <f>[@[Places passagers]]-[@[Nb passagers]]</f>
        <v>0</v>
      </c>
      <c r="M89" s="8">
        <f>IFERROR([@[Distance (km)]]*CoutKm + VLOOKUP($D89,TrajetsTable[[Trajet ID]:[Notes]],5,FALSE),0)</f>
        <v>0</v>
      </c>
      <c r="N89" s="11">
        <f>[@[Nb passagers]]*[@[Distance (km)]]*CO2gkm/1000</f>
        <v>0</v>
      </c>
    </row>
    <row r="90" spans="1:14">
      <c r="A90" s="6" t="s">
        <v>182</v>
      </c>
      <c r="B90" s="6"/>
      <c r="E90" s="4">
        <f>IFERROR(VLOOKUP($D90,TrajetsTable[[Trajet ID]:[Notes]],2,FALSE),"")</f>
        <v>0</v>
      </c>
      <c r="F90" s="4">
        <f>IFERROR(VLOOKUP($D90,TrajetsTable[[Trajet ID]:[Notes]],3,FALSE),"")</f>
        <v>0</v>
      </c>
      <c r="G90" s="7">
        <f>IFERROR(VLOOKUP($D90,TrajetsTable[[Trajet ID]:[Notes]],4,FALSE),0)</f>
        <v>0</v>
      </c>
      <c r="I90" s="6">
        <v>2</v>
      </c>
      <c r="J90" s="6">
        <f>IFERROR(COUNTIF(InscriptionsTable[Course ID],[@ID]),0)</f>
        <v>0</v>
      </c>
      <c r="K90" s="6">
        <f>[@[Places passagers]]-[@[Nb passagers]]</f>
        <v>0</v>
      </c>
      <c r="M90" s="8">
        <f>IFERROR([@[Distance (km)]]*CoutKm + VLOOKUP($D90,TrajetsTable[[Trajet ID]:[Notes]],5,FALSE),0)</f>
        <v>0</v>
      </c>
      <c r="N90" s="11">
        <f>[@[Nb passagers]]*[@[Distance (km)]]*CO2gkm/1000</f>
        <v>0</v>
      </c>
    </row>
    <row r="91" spans="1:14">
      <c r="A91" s="6" t="s">
        <v>183</v>
      </c>
      <c r="B91" s="6"/>
      <c r="E91" s="4">
        <f>IFERROR(VLOOKUP($D91,TrajetsTable[[Trajet ID]:[Notes]],2,FALSE),"")</f>
        <v>0</v>
      </c>
      <c r="F91" s="4">
        <f>IFERROR(VLOOKUP($D91,TrajetsTable[[Trajet ID]:[Notes]],3,FALSE),"")</f>
        <v>0</v>
      </c>
      <c r="G91" s="7">
        <f>IFERROR(VLOOKUP($D91,TrajetsTable[[Trajet ID]:[Notes]],4,FALSE),0)</f>
        <v>0</v>
      </c>
      <c r="I91" s="6">
        <v>2</v>
      </c>
      <c r="J91" s="6">
        <f>IFERROR(COUNTIF(InscriptionsTable[Course ID],[@ID]),0)</f>
        <v>0</v>
      </c>
      <c r="K91" s="6">
        <f>[@[Places passagers]]-[@[Nb passagers]]</f>
        <v>0</v>
      </c>
      <c r="M91" s="8">
        <f>IFERROR([@[Distance (km)]]*CoutKm + VLOOKUP($D91,TrajetsTable[[Trajet ID]:[Notes]],5,FALSE),0)</f>
        <v>0</v>
      </c>
      <c r="N91" s="11">
        <f>[@[Nb passagers]]*[@[Distance (km)]]*CO2gkm/1000</f>
        <v>0</v>
      </c>
    </row>
    <row r="92" spans="1:14">
      <c r="A92" s="6" t="s">
        <v>184</v>
      </c>
      <c r="B92" s="6"/>
      <c r="E92" s="4">
        <f>IFERROR(VLOOKUP($D92,TrajetsTable[[Trajet ID]:[Notes]],2,FALSE),"")</f>
        <v>0</v>
      </c>
      <c r="F92" s="4">
        <f>IFERROR(VLOOKUP($D92,TrajetsTable[[Trajet ID]:[Notes]],3,FALSE),"")</f>
        <v>0</v>
      </c>
      <c r="G92" s="7">
        <f>IFERROR(VLOOKUP($D92,TrajetsTable[[Trajet ID]:[Notes]],4,FALSE),0)</f>
        <v>0</v>
      </c>
      <c r="I92" s="6">
        <v>2</v>
      </c>
      <c r="J92" s="6">
        <f>IFERROR(COUNTIF(InscriptionsTable[Course ID],[@ID]),0)</f>
        <v>0</v>
      </c>
      <c r="K92" s="6">
        <f>[@[Places passagers]]-[@[Nb passagers]]</f>
        <v>0</v>
      </c>
      <c r="M92" s="8">
        <f>IFERROR([@[Distance (km)]]*CoutKm + VLOOKUP($D92,TrajetsTable[[Trajet ID]:[Notes]],5,FALSE),0)</f>
        <v>0</v>
      </c>
      <c r="N92" s="11">
        <f>[@[Nb passagers]]*[@[Distance (km)]]*CO2gkm/1000</f>
        <v>0</v>
      </c>
    </row>
    <row r="93" spans="1:14">
      <c r="A93" s="6" t="s">
        <v>185</v>
      </c>
      <c r="B93" s="6"/>
      <c r="E93" s="4">
        <f>IFERROR(VLOOKUP($D93,TrajetsTable[[Trajet ID]:[Notes]],2,FALSE),"")</f>
        <v>0</v>
      </c>
      <c r="F93" s="4">
        <f>IFERROR(VLOOKUP($D93,TrajetsTable[[Trajet ID]:[Notes]],3,FALSE),"")</f>
        <v>0</v>
      </c>
      <c r="G93" s="7">
        <f>IFERROR(VLOOKUP($D93,TrajetsTable[[Trajet ID]:[Notes]],4,FALSE),0)</f>
        <v>0</v>
      </c>
      <c r="I93" s="6">
        <v>2</v>
      </c>
      <c r="J93" s="6">
        <f>IFERROR(COUNTIF(InscriptionsTable[Course ID],[@ID]),0)</f>
        <v>0</v>
      </c>
      <c r="K93" s="6">
        <f>[@[Places passagers]]-[@[Nb passagers]]</f>
        <v>0</v>
      </c>
      <c r="M93" s="8">
        <f>IFERROR([@[Distance (km)]]*CoutKm + VLOOKUP($D93,TrajetsTable[[Trajet ID]:[Notes]],5,FALSE),0)</f>
        <v>0</v>
      </c>
      <c r="N93" s="11">
        <f>[@[Nb passagers]]*[@[Distance (km)]]*CO2gkm/1000</f>
        <v>0</v>
      </c>
    </row>
    <row r="94" spans="1:14">
      <c r="A94" s="6" t="s">
        <v>186</v>
      </c>
      <c r="B94" s="6"/>
      <c r="E94" s="4">
        <f>IFERROR(VLOOKUP($D94,TrajetsTable[[Trajet ID]:[Notes]],2,FALSE),"")</f>
        <v>0</v>
      </c>
      <c r="F94" s="4">
        <f>IFERROR(VLOOKUP($D94,TrajetsTable[[Trajet ID]:[Notes]],3,FALSE),"")</f>
        <v>0</v>
      </c>
      <c r="G94" s="7">
        <f>IFERROR(VLOOKUP($D94,TrajetsTable[[Trajet ID]:[Notes]],4,FALSE),0)</f>
        <v>0</v>
      </c>
      <c r="I94" s="6">
        <v>2</v>
      </c>
      <c r="J94" s="6">
        <f>IFERROR(COUNTIF(InscriptionsTable[Course ID],[@ID]),0)</f>
        <v>0</v>
      </c>
      <c r="K94" s="6">
        <f>[@[Places passagers]]-[@[Nb passagers]]</f>
        <v>0</v>
      </c>
      <c r="M94" s="8">
        <f>IFERROR([@[Distance (km)]]*CoutKm + VLOOKUP($D94,TrajetsTable[[Trajet ID]:[Notes]],5,FALSE),0)</f>
        <v>0</v>
      </c>
      <c r="N94" s="11">
        <f>[@[Nb passagers]]*[@[Distance (km)]]*CO2gkm/1000</f>
        <v>0</v>
      </c>
    </row>
    <row r="95" spans="1:14">
      <c r="A95" s="6" t="s">
        <v>187</v>
      </c>
      <c r="B95" s="6"/>
      <c r="E95" s="4">
        <f>IFERROR(VLOOKUP($D95,TrajetsTable[[Trajet ID]:[Notes]],2,FALSE),"")</f>
        <v>0</v>
      </c>
      <c r="F95" s="4">
        <f>IFERROR(VLOOKUP($D95,TrajetsTable[[Trajet ID]:[Notes]],3,FALSE),"")</f>
        <v>0</v>
      </c>
      <c r="G95" s="7">
        <f>IFERROR(VLOOKUP($D95,TrajetsTable[[Trajet ID]:[Notes]],4,FALSE),0)</f>
        <v>0</v>
      </c>
      <c r="I95" s="6">
        <v>2</v>
      </c>
      <c r="J95" s="6">
        <f>IFERROR(COUNTIF(InscriptionsTable[Course ID],[@ID]),0)</f>
        <v>0</v>
      </c>
      <c r="K95" s="6">
        <f>[@[Places passagers]]-[@[Nb passagers]]</f>
        <v>0</v>
      </c>
      <c r="M95" s="8">
        <f>IFERROR([@[Distance (km)]]*CoutKm + VLOOKUP($D95,TrajetsTable[[Trajet ID]:[Notes]],5,FALSE),0)</f>
        <v>0</v>
      </c>
      <c r="N95" s="11">
        <f>[@[Nb passagers]]*[@[Distance (km)]]*CO2gkm/1000</f>
        <v>0</v>
      </c>
    </row>
    <row r="96" spans="1:14">
      <c r="A96" s="6" t="s">
        <v>188</v>
      </c>
      <c r="B96" s="6"/>
      <c r="E96" s="4">
        <f>IFERROR(VLOOKUP($D96,TrajetsTable[[Trajet ID]:[Notes]],2,FALSE),"")</f>
        <v>0</v>
      </c>
      <c r="F96" s="4">
        <f>IFERROR(VLOOKUP($D96,TrajetsTable[[Trajet ID]:[Notes]],3,FALSE),"")</f>
        <v>0</v>
      </c>
      <c r="G96" s="7">
        <f>IFERROR(VLOOKUP($D96,TrajetsTable[[Trajet ID]:[Notes]],4,FALSE),0)</f>
        <v>0</v>
      </c>
      <c r="I96" s="6">
        <v>2</v>
      </c>
      <c r="J96" s="6">
        <f>IFERROR(COUNTIF(InscriptionsTable[Course ID],[@ID]),0)</f>
        <v>0</v>
      </c>
      <c r="K96" s="6">
        <f>[@[Places passagers]]-[@[Nb passagers]]</f>
        <v>0</v>
      </c>
      <c r="M96" s="8">
        <f>IFERROR([@[Distance (km)]]*CoutKm + VLOOKUP($D96,TrajetsTable[[Trajet ID]:[Notes]],5,FALSE),0)</f>
        <v>0</v>
      </c>
      <c r="N96" s="11">
        <f>[@[Nb passagers]]*[@[Distance (km)]]*CO2gkm/1000</f>
        <v>0</v>
      </c>
    </row>
    <row r="97" spans="1:14">
      <c r="A97" s="6" t="s">
        <v>189</v>
      </c>
      <c r="B97" s="6"/>
      <c r="E97" s="4">
        <f>IFERROR(VLOOKUP($D97,TrajetsTable[[Trajet ID]:[Notes]],2,FALSE),"")</f>
        <v>0</v>
      </c>
      <c r="F97" s="4">
        <f>IFERROR(VLOOKUP($D97,TrajetsTable[[Trajet ID]:[Notes]],3,FALSE),"")</f>
        <v>0</v>
      </c>
      <c r="G97" s="7">
        <f>IFERROR(VLOOKUP($D97,TrajetsTable[[Trajet ID]:[Notes]],4,FALSE),0)</f>
        <v>0</v>
      </c>
      <c r="I97" s="6">
        <v>2</v>
      </c>
      <c r="J97" s="6">
        <f>IFERROR(COUNTIF(InscriptionsTable[Course ID],[@ID]),0)</f>
        <v>0</v>
      </c>
      <c r="K97" s="6">
        <f>[@[Places passagers]]-[@[Nb passagers]]</f>
        <v>0</v>
      </c>
      <c r="M97" s="8">
        <f>IFERROR([@[Distance (km)]]*CoutKm + VLOOKUP($D97,TrajetsTable[[Trajet ID]:[Notes]],5,FALSE),0)</f>
        <v>0</v>
      </c>
      <c r="N97" s="11">
        <f>[@[Nb passagers]]*[@[Distance (km)]]*CO2gkm/1000</f>
        <v>0</v>
      </c>
    </row>
    <row r="98" spans="1:14">
      <c r="A98" s="6" t="s">
        <v>190</v>
      </c>
      <c r="B98" s="6"/>
      <c r="E98" s="4">
        <f>IFERROR(VLOOKUP($D98,TrajetsTable[[Trajet ID]:[Notes]],2,FALSE),"")</f>
        <v>0</v>
      </c>
      <c r="F98" s="4">
        <f>IFERROR(VLOOKUP($D98,TrajetsTable[[Trajet ID]:[Notes]],3,FALSE),"")</f>
        <v>0</v>
      </c>
      <c r="G98" s="7">
        <f>IFERROR(VLOOKUP($D98,TrajetsTable[[Trajet ID]:[Notes]],4,FALSE),0)</f>
        <v>0</v>
      </c>
      <c r="I98" s="6">
        <v>2</v>
      </c>
      <c r="J98" s="6">
        <f>IFERROR(COUNTIF(InscriptionsTable[Course ID],[@ID]),0)</f>
        <v>0</v>
      </c>
      <c r="K98" s="6">
        <f>[@[Places passagers]]-[@[Nb passagers]]</f>
        <v>0</v>
      </c>
      <c r="M98" s="8">
        <f>IFERROR([@[Distance (km)]]*CoutKm + VLOOKUP($D98,TrajetsTable[[Trajet ID]:[Notes]],5,FALSE),0)</f>
        <v>0</v>
      </c>
      <c r="N98" s="11">
        <f>[@[Nb passagers]]*[@[Distance (km)]]*CO2gkm/1000</f>
        <v>0</v>
      </c>
    </row>
    <row r="99" spans="1:14">
      <c r="A99" s="6" t="s">
        <v>191</v>
      </c>
      <c r="B99" s="6"/>
      <c r="E99" s="4">
        <f>IFERROR(VLOOKUP($D99,TrajetsTable[[Trajet ID]:[Notes]],2,FALSE),"")</f>
        <v>0</v>
      </c>
      <c r="F99" s="4">
        <f>IFERROR(VLOOKUP($D99,TrajetsTable[[Trajet ID]:[Notes]],3,FALSE),"")</f>
        <v>0</v>
      </c>
      <c r="G99" s="7">
        <f>IFERROR(VLOOKUP($D99,TrajetsTable[[Trajet ID]:[Notes]],4,FALSE),0)</f>
        <v>0</v>
      </c>
      <c r="I99" s="6">
        <v>2</v>
      </c>
      <c r="J99" s="6">
        <f>IFERROR(COUNTIF(InscriptionsTable[Course ID],[@ID]),0)</f>
        <v>0</v>
      </c>
      <c r="K99" s="6">
        <f>[@[Places passagers]]-[@[Nb passagers]]</f>
        <v>0</v>
      </c>
      <c r="M99" s="8">
        <f>IFERROR([@[Distance (km)]]*CoutKm + VLOOKUP($D99,TrajetsTable[[Trajet ID]:[Notes]],5,FALSE),0)</f>
        <v>0</v>
      </c>
      <c r="N99" s="11">
        <f>[@[Nb passagers]]*[@[Distance (km)]]*CO2gkm/1000</f>
        <v>0</v>
      </c>
    </row>
    <row r="100" spans="1:14">
      <c r="A100" s="6" t="s">
        <v>192</v>
      </c>
      <c r="B100" s="6"/>
      <c r="E100" s="4">
        <f>IFERROR(VLOOKUP($D100,TrajetsTable[[Trajet ID]:[Notes]],2,FALSE),"")</f>
        <v>0</v>
      </c>
      <c r="F100" s="4">
        <f>IFERROR(VLOOKUP($D100,TrajetsTable[[Trajet ID]:[Notes]],3,FALSE),"")</f>
        <v>0</v>
      </c>
      <c r="G100" s="7">
        <f>IFERROR(VLOOKUP($D100,TrajetsTable[[Trajet ID]:[Notes]],4,FALSE),0)</f>
        <v>0</v>
      </c>
      <c r="I100" s="6">
        <v>2</v>
      </c>
      <c r="J100" s="6">
        <f>IFERROR(COUNTIF(InscriptionsTable[Course ID],[@ID]),0)</f>
        <v>0</v>
      </c>
      <c r="K100" s="6">
        <f>[@[Places passagers]]-[@[Nb passagers]]</f>
        <v>0</v>
      </c>
      <c r="M100" s="8">
        <f>IFERROR([@[Distance (km)]]*CoutKm + VLOOKUP($D100,TrajetsTable[[Trajet ID]:[Notes]],5,FALSE),0)</f>
        <v>0</v>
      </c>
      <c r="N100" s="11">
        <f>[@[Nb passagers]]*[@[Distance (km)]]*CO2gkm/1000</f>
        <v>0</v>
      </c>
    </row>
    <row r="101" spans="1:14">
      <c r="A101" s="6" t="s">
        <v>193</v>
      </c>
      <c r="B101" s="6"/>
      <c r="E101" s="4">
        <f>IFERROR(VLOOKUP($D101,TrajetsTable[[Trajet ID]:[Notes]],2,FALSE),"")</f>
        <v>0</v>
      </c>
      <c r="F101" s="4">
        <f>IFERROR(VLOOKUP($D101,TrajetsTable[[Trajet ID]:[Notes]],3,FALSE),"")</f>
        <v>0</v>
      </c>
      <c r="G101" s="7">
        <f>IFERROR(VLOOKUP($D101,TrajetsTable[[Trajet ID]:[Notes]],4,FALSE),0)</f>
        <v>0</v>
      </c>
      <c r="I101" s="6">
        <v>2</v>
      </c>
      <c r="J101" s="6">
        <f>IFERROR(COUNTIF(InscriptionsTable[Course ID],[@ID]),0)</f>
        <v>0</v>
      </c>
      <c r="K101" s="6">
        <f>[@[Places passagers]]-[@[Nb passagers]]</f>
        <v>0</v>
      </c>
      <c r="M101" s="8">
        <f>IFERROR([@[Distance (km)]]*CoutKm + VLOOKUP($D101,TrajetsTable[[Trajet ID]:[Notes]],5,FALSE),0)</f>
        <v>0</v>
      </c>
      <c r="N101" s="11">
        <f>[@[Nb passagers]]*[@[Distance (km)]]*CO2gkm/1000</f>
        <v>0</v>
      </c>
    </row>
  </sheetData>
  <conditionalFormatting sqref="K2:K101">
    <cfRule type="cellIs" dxfId="4" priority="5" operator="lessThanOrEqual">
      <formula>0</formula>
    </cfRule>
  </conditionalFormatting>
  <conditionalFormatting sqref="L2:L101">
    <cfRule type="expression" dxfId="0" priority="1">
      <formula>$L2="Ouvert"</formula>
    </cfRule>
    <cfRule type="expression" dxfId="1" priority="2">
      <formula>$L2="À confirmer"</formula>
    </cfRule>
    <cfRule type="expression" dxfId="2" priority="3">
      <formula>$L2="Complet"</formula>
    </cfRule>
    <cfRule type="expression" dxfId="3" priority="4">
      <formula>$L2="Annulé"</formula>
    </cfRule>
  </conditionalFormatting>
  <dataValidations count="4">
    <dataValidation type="list" allowBlank="1" showInputMessage="1" showErrorMessage="1" sqref="C2:C1001">
      <formula1>ListeCreneaux</formula1>
    </dataValidation>
    <dataValidation type="list" allowBlank="1" showInputMessage="1" showErrorMessage="1" sqref="D2:D1001">
      <formula1>TrajetIDs</formula1>
    </dataValidation>
    <dataValidation type="list" allowBlank="1" showInputMessage="1" showErrorMessage="1" sqref="H2:H1001">
      <formula1>ParticipantNoms</formula1>
    </dataValidation>
    <dataValidation type="list" allowBlank="1" showInputMessage="1" showErrorMessage="1" sqref="L2:L1001">
      <formula1>ListeStatuts</formula1>
    </dataValidation>
  </dataValidation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D5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14.7109375" customWidth="1"/>
    <col min="2" max="2" width="26.7109375" customWidth="1"/>
    <col min="3" max="3" width="16.7109375" customWidth="1"/>
    <col min="4" max="4" width="20.7109375" customWidth="1"/>
  </cols>
  <sheetData>
    <row r="1" spans="1:4">
      <c r="A1" t="s">
        <v>194</v>
      </c>
      <c r="B1" t="s">
        <v>195</v>
      </c>
      <c r="C1" t="s">
        <v>196</v>
      </c>
      <c r="D1" t="s">
        <v>197</v>
      </c>
    </row>
    <row r="2" spans="1:4">
      <c r="A2" s="6" t="s">
        <v>94</v>
      </c>
      <c r="B2" s="4" t="s">
        <v>40</v>
      </c>
      <c r="C2" s="6" t="s">
        <v>3</v>
      </c>
      <c r="D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" spans="1:4">
      <c r="A3" s="6" t="s">
        <v>94</v>
      </c>
      <c r="B3" s="4" t="s">
        <v>48</v>
      </c>
      <c r="C3" s="6" t="s">
        <v>3</v>
      </c>
      <c r="D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" spans="1:4">
      <c r="A4" s="6" t="s">
        <v>95</v>
      </c>
      <c r="B4" s="4" t="s">
        <v>40</v>
      </c>
      <c r="C4" s="6" t="s">
        <v>3</v>
      </c>
      <c r="D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" spans="1:4">
      <c r="A5" s="6" t="s">
        <v>96</v>
      </c>
      <c r="B5" s="4" t="s">
        <v>40</v>
      </c>
      <c r="C5" s="6" t="s">
        <v>3</v>
      </c>
      <c r="D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" spans="1:4">
      <c r="A6" s="6" t="s">
        <v>96</v>
      </c>
      <c r="B6" s="4" t="s">
        <v>48</v>
      </c>
      <c r="C6" s="6" t="s">
        <v>3</v>
      </c>
      <c r="D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" spans="1:4">
      <c r="A7" s="6" t="s">
        <v>97</v>
      </c>
      <c r="B7" s="4" t="s">
        <v>40</v>
      </c>
      <c r="C7" s="6" t="s">
        <v>3</v>
      </c>
      <c r="D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" spans="1:4">
      <c r="A8" s="6" t="s">
        <v>97</v>
      </c>
      <c r="B8" s="4" t="s">
        <v>48</v>
      </c>
      <c r="C8" s="6" t="s">
        <v>3</v>
      </c>
      <c r="D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" spans="1:4">
      <c r="A9" s="6" t="s">
        <v>98</v>
      </c>
      <c r="B9" s="4" t="s">
        <v>40</v>
      </c>
      <c r="C9" s="6" t="s">
        <v>3</v>
      </c>
      <c r="D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" spans="1:4">
      <c r="A10" s="6" t="s">
        <v>99</v>
      </c>
      <c r="B10" s="4" t="s">
        <v>40</v>
      </c>
      <c r="C10" s="6" t="s">
        <v>3</v>
      </c>
      <c r="D1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" spans="1:4">
      <c r="A11" s="6" t="s">
        <v>99</v>
      </c>
      <c r="B11" s="4" t="s">
        <v>48</v>
      </c>
      <c r="C11" s="6" t="s">
        <v>3</v>
      </c>
      <c r="D1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" spans="1:4">
      <c r="A12" s="6" t="s">
        <v>101</v>
      </c>
      <c r="B12" s="4" t="s">
        <v>40</v>
      </c>
      <c r="C12" s="6" t="s">
        <v>3</v>
      </c>
      <c r="D1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" spans="1:4">
      <c r="A13" s="6" t="s">
        <v>102</v>
      </c>
      <c r="B13" s="4" t="s">
        <v>40</v>
      </c>
      <c r="C13" s="6" t="s">
        <v>3</v>
      </c>
      <c r="D1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" spans="1:4">
      <c r="A14" s="6" t="s">
        <v>102</v>
      </c>
      <c r="B14" s="4" t="s">
        <v>48</v>
      </c>
      <c r="C14" s="6" t="s">
        <v>3</v>
      </c>
      <c r="D1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" spans="1:4">
      <c r="A15" s="6" t="s">
        <v>102</v>
      </c>
      <c r="B15" s="4" t="s">
        <v>55</v>
      </c>
      <c r="C15" s="6" t="s">
        <v>3</v>
      </c>
      <c r="D1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" spans="1:4">
      <c r="A16" s="6" t="s">
        <v>103</v>
      </c>
      <c r="B16" s="4" t="s">
        <v>40</v>
      </c>
      <c r="C16" s="6" t="s">
        <v>3</v>
      </c>
      <c r="D1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" spans="4:4">
      <c r="D1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" spans="4:4">
      <c r="D1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" spans="4:4">
      <c r="D1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" spans="4:4">
      <c r="D2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" spans="4:4">
      <c r="D2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" spans="4:4">
      <c r="D2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" spans="4:4">
      <c r="D2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" spans="4:4">
      <c r="D2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" spans="4:4">
      <c r="D2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" spans="4:4">
      <c r="D2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" spans="4:4">
      <c r="D2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" spans="4:4">
      <c r="D2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" spans="4:4">
      <c r="D2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" spans="4:4">
      <c r="D3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" spans="4:4">
      <c r="D3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" spans="4:4">
      <c r="D3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" spans="4:4">
      <c r="D3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" spans="4:4">
      <c r="D3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" spans="4:4">
      <c r="D3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" spans="4:4">
      <c r="D3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" spans="4:4">
      <c r="D3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" spans="4:4">
      <c r="D3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" spans="4:4">
      <c r="D3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" spans="4:4">
      <c r="D4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" spans="4:4">
      <c r="D4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" spans="4:4">
      <c r="D4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" spans="4:4">
      <c r="D4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" spans="4:4">
      <c r="D4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" spans="4:4">
      <c r="D4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" spans="4:4">
      <c r="D4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" spans="4:4">
      <c r="D4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" spans="4:4">
      <c r="D4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" spans="4:4">
      <c r="D4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0" spans="4:4">
      <c r="D5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1" spans="4:4">
      <c r="D5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2" spans="4:4">
      <c r="D5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3" spans="4:4">
      <c r="D5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4" spans="4:4">
      <c r="D5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5" spans="4:4">
      <c r="D5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6" spans="4:4">
      <c r="D5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7" spans="4:4">
      <c r="D5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8" spans="4:4">
      <c r="D5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9" spans="4:4">
      <c r="D5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0" spans="4:4">
      <c r="D6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1" spans="4:4">
      <c r="D6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2" spans="4:4">
      <c r="D6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3" spans="4:4">
      <c r="D6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4" spans="4:4">
      <c r="D6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5" spans="4:4">
      <c r="D6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6" spans="4:4">
      <c r="D6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7" spans="4:4">
      <c r="D6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8" spans="4:4">
      <c r="D6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69" spans="4:4">
      <c r="D6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0" spans="4:4">
      <c r="D7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1" spans="4:4">
      <c r="D7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2" spans="4:4">
      <c r="D7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3" spans="4:4">
      <c r="D7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4" spans="4:4">
      <c r="D7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5" spans="4:4">
      <c r="D7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6" spans="4:4">
      <c r="D7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7" spans="4:4">
      <c r="D7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8" spans="4:4">
      <c r="D7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79" spans="4:4">
      <c r="D7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0" spans="4:4">
      <c r="D8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1" spans="4:4">
      <c r="D8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2" spans="4:4">
      <c r="D8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3" spans="4:4">
      <c r="D8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4" spans="4:4">
      <c r="D8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5" spans="4:4">
      <c r="D8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6" spans="4:4">
      <c r="D8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7" spans="4:4">
      <c r="D8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8" spans="4:4">
      <c r="D8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89" spans="4:4">
      <c r="D8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0" spans="4:4">
      <c r="D9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1" spans="4:4">
      <c r="D9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2" spans="4:4">
      <c r="D9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3" spans="4:4">
      <c r="D9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4" spans="4:4">
      <c r="D9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5" spans="4:4">
      <c r="D9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6" spans="4:4">
      <c r="D9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7" spans="4:4">
      <c r="D9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8" spans="4:4">
      <c r="D9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99" spans="4:4">
      <c r="D9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0" spans="4:4">
      <c r="D10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1" spans="4:4">
      <c r="D10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2" spans="4:4">
      <c r="D10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3" spans="4:4">
      <c r="D10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4" spans="4:4">
      <c r="D10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5" spans="4:4">
      <c r="D10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6" spans="4:4">
      <c r="D10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7" spans="4:4">
      <c r="D10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8" spans="4:4">
      <c r="D10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09" spans="4:4">
      <c r="D10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0" spans="4:4">
      <c r="D11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1" spans="4:4">
      <c r="D11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2" spans="4:4">
      <c r="D11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3" spans="4:4">
      <c r="D11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4" spans="4:4">
      <c r="D11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5" spans="4:4">
      <c r="D11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6" spans="4:4">
      <c r="D11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7" spans="4:4">
      <c r="D11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8" spans="4:4">
      <c r="D11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19" spans="4:4">
      <c r="D11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0" spans="4:4">
      <c r="D12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1" spans="4:4">
      <c r="D12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2" spans="4:4">
      <c r="D12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3" spans="4:4">
      <c r="D12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4" spans="4:4">
      <c r="D12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5" spans="4:4">
      <c r="D12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6" spans="4:4">
      <c r="D12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7" spans="4:4">
      <c r="D12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8" spans="4:4">
      <c r="D12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29" spans="4:4">
      <c r="D12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0" spans="4:4">
      <c r="D13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1" spans="4:4">
      <c r="D13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2" spans="4:4">
      <c r="D13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3" spans="4:4">
      <c r="D13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4" spans="4:4">
      <c r="D13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5" spans="4:4">
      <c r="D13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6" spans="4:4">
      <c r="D13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7" spans="4:4">
      <c r="D13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8" spans="4:4">
      <c r="D13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39" spans="4:4">
      <c r="D13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0" spans="4:4">
      <c r="D14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1" spans="4:4">
      <c r="D14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2" spans="4:4">
      <c r="D14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3" spans="4:4">
      <c r="D14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4" spans="4:4">
      <c r="D14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5" spans="4:4">
      <c r="D14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6" spans="4:4">
      <c r="D14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7" spans="4:4">
      <c r="D14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8" spans="4:4">
      <c r="D14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49" spans="4:4">
      <c r="D14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0" spans="4:4">
      <c r="D15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1" spans="4:4">
      <c r="D15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2" spans="4:4">
      <c r="D15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3" spans="4:4">
      <c r="D15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4" spans="4:4">
      <c r="D15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5" spans="4:4">
      <c r="D15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6" spans="4:4">
      <c r="D15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7" spans="4:4">
      <c r="D15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8" spans="4:4">
      <c r="D15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59" spans="4:4">
      <c r="D15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0" spans="4:4">
      <c r="D16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1" spans="4:4">
      <c r="D16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2" spans="4:4">
      <c r="D16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3" spans="4:4">
      <c r="D16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4" spans="4:4">
      <c r="D16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5" spans="4:4">
      <c r="D16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6" spans="4:4">
      <c r="D16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7" spans="4:4">
      <c r="D16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8" spans="4:4">
      <c r="D16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69" spans="4:4">
      <c r="D16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0" spans="4:4">
      <c r="D17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1" spans="4:4">
      <c r="D17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2" spans="4:4">
      <c r="D17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3" spans="4:4">
      <c r="D17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4" spans="4:4">
      <c r="D17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5" spans="4:4">
      <c r="D17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6" spans="4:4">
      <c r="D17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7" spans="4:4">
      <c r="D17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8" spans="4:4">
      <c r="D17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79" spans="4:4">
      <c r="D17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0" spans="4:4">
      <c r="D18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1" spans="4:4">
      <c r="D18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2" spans="4:4">
      <c r="D18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3" spans="4:4">
      <c r="D18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4" spans="4:4">
      <c r="D18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5" spans="4:4">
      <c r="D18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6" spans="4:4">
      <c r="D18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7" spans="4:4">
      <c r="D18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8" spans="4:4">
      <c r="D18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89" spans="4:4">
      <c r="D18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0" spans="4:4">
      <c r="D19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1" spans="4:4">
      <c r="D19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2" spans="4:4">
      <c r="D19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3" spans="4:4">
      <c r="D19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4" spans="4:4">
      <c r="D19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5" spans="4:4">
      <c r="D19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6" spans="4:4">
      <c r="D19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7" spans="4:4">
      <c r="D19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8" spans="4:4">
      <c r="D19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199" spans="4:4">
      <c r="D19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0" spans="4:4">
      <c r="D20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1" spans="4:4">
      <c r="D20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2" spans="4:4">
      <c r="D20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3" spans="4:4">
      <c r="D20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4" spans="4:4">
      <c r="D20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5" spans="4:4">
      <c r="D20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6" spans="4:4">
      <c r="D20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7" spans="4:4">
      <c r="D20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8" spans="4:4">
      <c r="D20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09" spans="4:4">
      <c r="D20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0" spans="4:4">
      <c r="D21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1" spans="4:4">
      <c r="D21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2" spans="4:4">
      <c r="D21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3" spans="4:4">
      <c r="D21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4" spans="4:4">
      <c r="D21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5" spans="4:4">
      <c r="D21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6" spans="4:4">
      <c r="D21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7" spans="4:4">
      <c r="D21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8" spans="4:4">
      <c r="D21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19" spans="4:4">
      <c r="D21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0" spans="4:4">
      <c r="D22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1" spans="4:4">
      <c r="D22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2" spans="4:4">
      <c r="D22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3" spans="4:4">
      <c r="D22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4" spans="4:4">
      <c r="D22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5" spans="4:4">
      <c r="D22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6" spans="4:4">
      <c r="D22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7" spans="4:4">
      <c r="D22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8" spans="4:4">
      <c r="D22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29" spans="4:4">
      <c r="D22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0" spans="4:4">
      <c r="D23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1" spans="4:4">
      <c r="D23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2" spans="4:4">
      <c r="D23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3" spans="4:4">
      <c r="D23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4" spans="4:4">
      <c r="D23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5" spans="4:4">
      <c r="D23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6" spans="4:4">
      <c r="D23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7" spans="4:4">
      <c r="D23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8" spans="4:4">
      <c r="D23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39" spans="4:4">
      <c r="D23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0" spans="4:4">
      <c r="D24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1" spans="4:4">
      <c r="D24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2" spans="4:4">
      <c r="D24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3" spans="4:4">
      <c r="D24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4" spans="4:4">
      <c r="D24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5" spans="4:4">
      <c r="D24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6" spans="4:4">
      <c r="D24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7" spans="4:4">
      <c r="D24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8" spans="4:4">
      <c r="D24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49" spans="4:4">
      <c r="D24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0" spans="4:4">
      <c r="D25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1" spans="4:4">
      <c r="D25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2" spans="4:4">
      <c r="D25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3" spans="4:4">
      <c r="D25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4" spans="4:4">
      <c r="D25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5" spans="4:4">
      <c r="D25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6" spans="4:4">
      <c r="D25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7" spans="4:4">
      <c r="D25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8" spans="4:4">
      <c r="D25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59" spans="4:4">
      <c r="D25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0" spans="4:4">
      <c r="D26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1" spans="4:4">
      <c r="D26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2" spans="4:4">
      <c r="D26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3" spans="4:4">
      <c r="D26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4" spans="4:4">
      <c r="D26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5" spans="4:4">
      <c r="D26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6" spans="4:4">
      <c r="D26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7" spans="4:4">
      <c r="D26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8" spans="4:4">
      <c r="D26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69" spans="4:4">
      <c r="D26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0" spans="4:4">
      <c r="D27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1" spans="4:4">
      <c r="D27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2" spans="4:4">
      <c r="D27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3" spans="4:4">
      <c r="D27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4" spans="4:4">
      <c r="D27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5" spans="4:4">
      <c r="D27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6" spans="4:4">
      <c r="D27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7" spans="4:4">
      <c r="D27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8" spans="4:4">
      <c r="D27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79" spans="4:4">
      <c r="D27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0" spans="4:4">
      <c r="D28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1" spans="4:4">
      <c r="D28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2" spans="4:4">
      <c r="D28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3" spans="4:4">
      <c r="D28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4" spans="4:4">
      <c r="D28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5" spans="4:4">
      <c r="D28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6" spans="4:4">
      <c r="D28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7" spans="4:4">
      <c r="D28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8" spans="4:4">
      <c r="D28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89" spans="4:4">
      <c r="D28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0" spans="4:4">
      <c r="D29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1" spans="4:4">
      <c r="D29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2" spans="4:4">
      <c r="D29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3" spans="4:4">
      <c r="D29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4" spans="4:4">
      <c r="D29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5" spans="4:4">
      <c r="D29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6" spans="4:4">
      <c r="D29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7" spans="4:4">
      <c r="D29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8" spans="4:4">
      <c r="D29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299" spans="4:4">
      <c r="D29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0" spans="4:4">
      <c r="D30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1" spans="4:4">
      <c r="D30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2" spans="4:4">
      <c r="D30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3" spans="4:4">
      <c r="D30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4" spans="4:4">
      <c r="D30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5" spans="4:4">
      <c r="D30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6" spans="4:4">
      <c r="D30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7" spans="4:4">
      <c r="D30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8" spans="4:4">
      <c r="D30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09" spans="4:4">
      <c r="D30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0" spans="4:4">
      <c r="D31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1" spans="4:4">
      <c r="D31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2" spans="4:4">
      <c r="D31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3" spans="4:4">
      <c r="D31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4" spans="4:4">
      <c r="D31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5" spans="4:4">
      <c r="D31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6" spans="4:4">
      <c r="D31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7" spans="4:4">
      <c r="D31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8" spans="4:4">
      <c r="D31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19" spans="4:4">
      <c r="D31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0" spans="4:4">
      <c r="D32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1" spans="4:4">
      <c r="D32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2" spans="4:4">
      <c r="D32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3" spans="4:4">
      <c r="D32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4" spans="4:4">
      <c r="D32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5" spans="4:4">
      <c r="D32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6" spans="4:4">
      <c r="D32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7" spans="4:4">
      <c r="D32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8" spans="4:4">
      <c r="D32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29" spans="4:4">
      <c r="D32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0" spans="4:4">
      <c r="D33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1" spans="4:4">
      <c r="D33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2" spans="4:4">
      <c r="D33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3" spans="4:4">
      <c r="D33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4" spans="4:4">
      <c r="D33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5" spans="4:4">
      <c r="D33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6" spans="4:4">
      <c r="D33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7" spans="4:4">
      <c r="D33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8" spans="4:4">
      <c r="D33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39" spans="4:4">
      <c r="D33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0" spans="4:4">
      <c r="D34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1" spans="4:4">
      <c r="D34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2" spans="4:4">
      <c r="D34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3" spans="4:4">
      <c r="D34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4" spans="4:4">
      <c r="D34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5" spans="4:4">
      <c r="D34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6" spans="4:4">
      <c r="D34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7" spans="4:4">
      <c r="D34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8" spans="4:4">
      <c r="D34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49" spans="4:4">
      <c r="D34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0" spans="4:4">
      <c r="D35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1" spans="4:4">
      <c r="D35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2" spans="4:4">
      <c r="D35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3" spans="4:4">
      <c r="D35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4" spans="4:4">
      <c r="D35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5" spans="4:4">
      <c r="D35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6" spans="4:4">
      <c r="D35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7" spans="4:4">
      <c r="D35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8" spans="4:4">
      <c r="D35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59" spans="4:4">
      <c r="D35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0" spans="4:4">
      <c r="D36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1" spans="4:4">
      <c r="D36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2" spans="4:4">
      <c r="D36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3" spans="4:4">
      <c r="D36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4" spans="4:4">
      <c r="D36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5" spans="4:4">
      <c r="D36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6" spans="4:4">
      <c r="D36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7" spans="4:4">
      <c r="D36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8" spans="4:4">
      <c r="D36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69" spans="4:4">
      <c r="D36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0" spans="4:4">
      <c r="D37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1" spans="4:4">
      <c r="D37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2" spans="4:4">
      <c r="D37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3" spans="4:4">
      <c r="D37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4" spans="4:4">
      <c r="D37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5" spans="4:4">
      <c r="D37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6" spans="4:4">
      <c r="D37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7" spans="4:4">
      <c r="D37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8" spans="4:4">
      <c r="D37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79" spans="4:4">
      <c r="D37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0" spans="4:4">
      <c r="D38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1" spans="4:4">
      <c r="D38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2" spans="4:4">
      <c r="D38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3" spans="4:4">
      <c r="D38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4" spans="4:4">
      <c r="D38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5" spans="4:4">
      <c r="D38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6" spans="4:4">
      <c r="D38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7" spans="4:4">
      <c r="D38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8" spans="4:4">
      <c r="D38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89" spans="4:4">
      <c r="D38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0" spans="4:4">
      <c r="D39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1" spans="4:4">
      <c r="D39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2" spans="4:4">
      <c r="D39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3" spans="4:4">
      <c r="D39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4" spans="4:4">
      <c r="D39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5" spans="4:4">
      <c r="D39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6" spans="4:4">
      <c r="D39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7" spans="4:4">
      <c r="D39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8" spans="4:4">
      <c r="D39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399" spans="4:4">
      <c r="D39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0" spans="4:4">
      <c r="D40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1" spans="4:4">
      <c r="D40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2" spans="4:4">
      <c r="D40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3" spans="4:4">
      <c r="D40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4" spans="4:4">
      <c r="D40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5" spans="4:4">
      <c r="D40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6" spans="4:4">
      <c r="D40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7" spans="4:4">
      <c r="D40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8" spans="4:4">
      <c r="D40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09" spans="4:4">
      <c r="D40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0" spans="4:4">
      <c r="D41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1" spans="4:4">
      <c r="D41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2" spans="4:4">
      <c r="D41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3" spans="4:4">
      <c r="D41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4" spans="4:4">
      <c r="D41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5" spans="4:4">
      <c r="D41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6" spans="4:4">
      <c r="D41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7" spans="4:4">
      <c r="D41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8" spans="4:4">
      <c r="D41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19" spans="4:4">
      <c r="D41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0" spans="4:4">
      <c r="D42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1" spans="4:4">
      <c r="D42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2" spans="4:4">
      <c r="D42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3" spans="4:4">
      <c r="D42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4" spans="4:4">
      <c r="D42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5" spans="4:4">
      <c r="D42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6" spans="4:4">
      <c r="D42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7" spans="4:4">
      <c r="D42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8" spans="4:4">
      <c r="D42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29" spans="4:4">
      <c r="D42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0" spans="4:4">
      <c r="D43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1" spans="4:4">
      <c r="D43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2" spans="4:4">
      <c r="D43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3" spans="4:4">
      <c r="D43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4" spans="4:4">
      <c r="D43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5" spans="4:4">
      <c r="D43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6" spans="4:4">
      <c r="D43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7" spans="4:4">
      <c r="D43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8" spans="4:4">
      <c r="D43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39" spans="4:4">
      <c r="D43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0" spans="4:4">
      <c r="D44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1" spans="4:4">
      <c r="D44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2" spans="4:4">
      <c r="D44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3" spans="4:4">
      <c r="D44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4" spans="4:4">
      <c r="D44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5" spans="4:4">
      <c r="D44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6" spans="4:4">
      <c r="D44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7" spans="4:4">
      <c r="D44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8" spans="4:4">
      <c r="D44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49" spans="4:4">
      <c r="D44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0" spans="4:4">
      <c r="D45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1" spans="4:4">
      <c r="D45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2" spans="4:4">
      <c r="D45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3" spans="4:4">
      <c r="D45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4" spans="4:4">
      <c r="D45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5" spans="4:4">
      <c r="D45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6" spans="4:4">
      <c r="D45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7" spans="4:4">
      <c r="D45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8" spans="4:4">
      <c r="D45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59" spans="4:4">
      <c r="D45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0" spans="4:4">
      <c r="D46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1" spans="4:4">
      <c r="D46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2" spans="4:4">
      <c r="D46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3" spans="4:4">
      <c r="D46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4" spans="4:4">
      <c r="D46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5" spans="4:4">
      <c r="D46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6" spans="4:4">
      <c r="D46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7" spans="4:4">
      <c r="D46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8" spans="4:4">
      <c r="D46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69" spans="4:4">
      <c r="D46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0" spans="4:4">
      <c r="D47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1" spans="4:4">
      <c r="D47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2" spans="4:4">
      <c r="D47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3" spans="4:4">
      <c r="D47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4" spans="4:4">
      <c r="D47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5" spans="4:4">
      <c r="D47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6" spans="4:4">
      <c r="D47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7" spans="4:4">
      <c r="D47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8" spans="4:4">
      <c r="D47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79" spans="4:4">
      <c r="D47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0" spans="4:4">
      <c r="D48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1" spans="4:4">
      <c r="D48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2" spans="4:4">
      <c r="D48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3" spans="4:4">
      <c r="D48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4" spans="4:4">
      <c r="D48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5" spans="4:4">
      <c r="D48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6" spans="4:4">
      <c r="D48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7" spans="4:4">
      <c r="D48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8" spans="4:4">
      <c r="D48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89" spans="4:4">
      <c r="D48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0" spans="4:4">
      <c r="D49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1" spans="4:4">
      <c r="D491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2" spans="4:4">
      <c r="D492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3" spans="4:4">
      <c r="D493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4" spans="4:4">
      <c r="D494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5" spans="4:4">
      <c r="D495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6" spans="4:4">
      <c r="D496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7" spans="4:4">
      <c r="D497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8" spans="4:4">
      <c r="D498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499" spans="4:4">
      <c r="D499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00" spans="4:4">
      <c r="D500" s="8">
        <f>IF([@{Valide (Oui/Non)}]="Oui", IFERROR(VLOOKUP([@[Course ID]],PlanningTable[[ID]:[Coût Trajet (€)]],2,FALSE) / (COUNTIF(InscriptionsTable[Course ID],[@[Course ID]]) + IF(InclureCond="Oui",1,0)), 0), 0)</f>
        <v>0</v>
      </c>
    </row>
    <row r="501" spans="4:4">
      <c r="D501" s="8">
        <f>IF([@{Valide (Oui/Non)}]="Oui", IFERROR(VLOOKUP([@[Course ID]],PlanningTable[[ID]:[Coût Trajet (€)]],2,FALSE) / (COUNTIF(InscriptionsTable[Course ID],[@[Course ID]]) + IF(InclureCond="Oui",1,0)), 0), 0)</f>
        <v>0</v>
      </c>
    </row>
  </sheetData>
  <dataValidations count="3">
    <dataValidation type="list" allowBlank="1" showInputMessage="1" showErrorMessage="1" sqref="A2:A1001">
      <formula1>PlanningTable[ID]</formula1>
    </dataValidation>
    <dataValidation type="list" allowBlank="1" showInputMessage="1" showErrorMessage="1" sqref="B2:B1001">
      <formula1>ParticipantNoms</formula1>
    </dataValidation>
    <dataValidation type="list" allowBlank="1" showInputMessage="1" showErrorMessage="1" sqref="C2:C1001">
      <formula1>"Oui,Non"</formula1>
    </dataValidation>
  </dataValidation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FormatPr defaultRowHeight="15"/>
  <cols>
    <col min="1" max="1" width="42.7109375" customWidth="1"/>
    <col min="2" max="4" width="22.7109375" customWidth="1"/>
  </cols>
  <sheetData>
    <row r="1" spans="1:2">
      <c r="A1" s="2" t="s">
        <v>198</v>
      </c>
    </row>
    <row r="3" spans="1:2">
      <c r="A3" s="1" t="s">
        <v>199</v>
      </c>
    </row>
    <row r="5" spans="1:2">
      <c r="A5" s="4" t="s">
        <v>200</v>
      </c>
      <c r="B5" s="6">
        <f>COUNTIF(PlanningTable[Statut],"&lt;&gt;Annulé")</f>
        <v>0</v>
      </c>
    </row>
    <row r="6" spans="1:2">
      <c r="A6" s="4" t="s">
        <v>201</v>
      </c>
      <c r="B6" s="6">
        <f>SUMIFS(PlanningTable[Nb passagers],PlanningTable[Statut],"&lt;&gt;Annulé")</f>
        <v>0</v>
      </c>
    </row>
    <row r="7" spans="1:2">
      <c r="A7" s="4" t="s">
        <v>202</v>
      </c>
      <c r="B7" s="7">
        <f>SUMIFS(PlanningTable[Distance (km)],PlanningTable[Statut],"&lt;&gt;Annulé")</f>
        <v>0</v>
      </c>
    </row>
    <row r="8" spans="1:2">
      <c r="A8" s="4" t="s">
        <v>93</v>
      </c>
      <c r="B8" s="11">
        <f>SUMIFS(PlanningTable[CO₂ économisée (kg)],PlanningTable[Statut],"&lt;&gt;Annulé")</f>
        <v>0</v>
      </c>
    </row>
    <row r="9" spans="1:2">
      <c r="A9" s="4" t="s">
        <v>203</v>
      </c>
      <c r="B9" s="8">
        <f>SUMIFS(PlanningTable[Coût Trajet (€)],PlanningTable[Statut],"&lt;&gt;Annulé")</f>
        <v>0</v>
      </c>
    </row>
    <row r="11" spans="1:2">
      <c r="A11" s="1" t="s">
        <v>204</v>
      </c>
    </row>
    <row r="12" spans="1:2">
      <c r="A12" s="4" t="s">
        <v>8</v>
      </c>
      <c r="B12" s="6">
        <f>COUNTIF(PlanningTable[Statut],"Ouvert")</f>
        <v>0</v>
      </c>
    </row>
    <row r="13" spans="1:2">
      <c r="A13" s="4" t="s">
        <v>9</v>
      </c>
      <c r="B13" s="6">
        <f>COUNTIF(PlanningTable[Statut],"À confirmer")</f>
        <v>0</v>
      </c>
    </row>
    <row r="14" spans="1:2">
      <c r="A14" s="4" t="s">
        <v>10</v>
      </c>
      <c r="B14" s="6">
        <f>COUNTIF(PlanningTable[Statut],"Complet")</f>
        <v>0</v>
      </c>
    </row>
    <row r="15" spans="1:2">
      <c r="A15" s="4" t="s">
        <v>11</v>
      </c>
      <c r="B15" s="6">
        <f>COUNTIF(PlanningTable[Statut],"Annulé")</f>
        <v>0</v>
      </c>
    </row>
    <row r="18" spans="1:2">
      <c r="A18" s="1" t="s">
        <v>205</v>
      </c>
    </row>
    <row r="19" spans="1:2">
      <c r="A19" s="3" t="s">
        <v>87</v>
      </c>
      <c r="B19" s="3" t="s">
        <v>206</v>
      </c>
    </row>
    <row r="20" spans="1:2">
      <c r="A20">
        <f>INDEX(ParticipantsTable[Nom &amp; Prénom],1)</f>
        <v>0</v>
      </c>
      <c r="B20" s="6">
        <f>COUNTIF(PlanningTable[Conducteur],INDEX(ParticipantsTable[Nom &amp; Prénom],1))</f>
        <v>0</v>
      </c>
    </row>
    <row r="21" spans="1:2">
      <c r="A21">
        <f>INDEX(ParticipantsTable[Nom &amp; Prénom],2)</f>
        <v>0</v>
      </c>
      <c r="B21" s="6">
        <f>COUNTIF(PlanningTable[Conducteur],INDEX(ParticipantsTable[Nom &amp; Prénom],2))</f>
        <v>0</v>
      </c>
    </row>
    <row r="22" spans="1:2">
      <c r="A22">
        <f>INDEX(ParticipantsTable[Nom &amp; Prénom],3)</f>
        <v>0</v>
      </c>
      <c r="B22" s="6">
        <f>COUNTIF(PlanningTable[Conducteur],INDEX(ParticipantsTable[Nom &amp; Prénom],3))</f>
        <v>0</v>
      </c>
    </row>
    <row r="23" spans="1:2">
      <c r="A23">
        <f>INDEX(ParticipantsTable[Nom &amp; Prénom],4)</f>
        <v>0</v>
      </c>
      <c r="B23" s="6">
        <f>COUNTIF(PlanningTable[Conducteur],INDEX(ParticipantsTable[Nom &amp; Prénom],4))</f>
        <v>0</v>
      </c>
    </row>
    <row r="24" spans="1:2">
      <c r="A24">
        <f>INDEX(ParticipantsTable[Nom &amp; Prénom],5)</f>
        <v>0</v>
      </c>
      <c r="B24" s="6">
        <f>COUNTIF(PlanningTable[Conducteur],INDEX(ParticipantsTable[Nom &amp; Prénom],5))</f>
        <v>0</v>
      </c>
    </row>
    <row r="25" spans="1:2">
      <c r="A25">
        <f>INDEX(ParticipantsTable[Nom &amp; Prénom],6)</f>
        <v>0</v>
      </c>
      <c r="B25" s="6">
        <f>COUNTIF(PlanningTable[Conducteur],INDEX(ParticipantsTable[Nom &amp; Prénom],6))</f>
        <v>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6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34.7109375" customWidth="1"/>
    <col min="2" max="4" width="26.7109375" customWidth="1"/>
    <col min="5" max="5" width="34.7109375" customWidth="1"/>
  </cols>
  <sheetData>
    <row r="1" spans="1:5">
      <c r="A1" s="2" t="s">
        <v>207</v>
      </c>
      <c r="B1" s="2"/>
      <c r="C1" s="2"/>
      <c r="D1" s="2"/>
      <c r="E1" s="2"/>
    </row>
    <row r="3" spans="1:5">
      <c r="A3" s="12" t="s">
        <v>208</v>
      </c>
    </row>
    <row r="4" spans="1:5">
      <c r="A4" s="3" t="s">
        <v>209</v>
      </c>
      <c r="B4" s="3" t="s">
        <v>210</v>
      </c>
      <c r="C4" s="3" t="s">
        <v>211</v>
      </c>
      <c r="D4" s="3" t="s">
        <v>212</v>
      </c>
      <c r="E4" s="3" t="s">
        <v>213</v>
      </c>
    </row>
    <row r="5" spans="1:5">
      <c r="B5" s="4"/>
      <c r="C5" s="4"/>
      <c r="D5" s="4"/>
      <c r="E5" s="4" t="s">
        <v>214</v>
      </c>
    </row>
    <row r="7" spans="1:5">
      <c r="A7" s="12" t="s">
        <v>215</v>
      </c>
    </row>
    <row r="8" spans="1:5">
      <c r="A8" s="3" t="s">
        <v>216</v>
      </c>
      <c r="B8" s="3" t="s">
        <v>217</v>
      </c>
      <c r="C8" s="3" t="s">
        <v>218</v>
      </c>
      <c r="D8" s="3" t="s">
        <v>219</v>
      </c>
    </row>
    <row r="9" spans="1:5">
      <c r="A9" s="4" t="s">
        <v>220</v>
      </c>
      <c r="C9" s="8">
        <v>0</v>
      </c>
      <c r="D9" s="9"/>
    </row>
    <row r="10" spans="1:5">
      <c r="A10" s="4" t="s">
        <v>221</v>
      </c>
      <c r="C10" s="8">
        <v>0</v>
      </c>
      <c r="D10" s="9"/>
    </row>
    <row r="11" spans="1:5">
      <c r="A11" s="4" t="s">
        <v>222</v>
      </c>
      <c r="C11" s="8">
        <v>0</v>
      </c>
      <c r="D11" s="9"/>
    </row>
    <row r="12" spans="1:5">
      <c r="A12" s="4" t="s">
        <v>223</v>
      </c>
      <c r="C12" s="8">
        <v>0</v>
      </c>
      <c r="D12" s="9"/>
    </row>
    <row r="13" spans="1:5">
      <c r="A13" s="4" t="s">
        <v>224</v>
      </c>
      <c r="C13" s="8">
        <v>0</v>
      </c>
      <c r="D13" s="9"/>
    </row>
    <row r="14" spans="1:5">
      <c r="A14" s="4" t="s">
        <v>225</v>
      </c>
      <c r="C14" s="8">
        <v>0</v>
      </c>
      <c r="D14" s="9"/>
    </row>
    <row r="15" spans="1:5">
      <c r="A15" s="4" t="s">
        <v>226</v>
      </c>
      <c r="C15" s="8">
        <v>0</v>
      </c>
      <c r="D15" s="9"/>
    </row>
    <row r="16" spans="1:5">
      <c r="A16" s="4" t="s">
        <v>227</v>
      </c>
      <c r="C16" s="8">
        <v>0</v>
      </c>
      <c r="D16" s="9"/>
    </row>
    <row r="19" spans="1:3">
      <c r="A19" s="12" t="s">
        <v>228</v>
      </c>
    </row>
    <row r="20" spans="1:3">
      <c r="A20" s="3" t="s">
        <v>229</v>
      </c>
      <c r="B20" s="3" t="s">
        <v>230</v>
      </c>
      <c r="C20" s="3" t="s">
        <v>219</v>
      </c>
    </row>
    <row r="21" spans="1:3">
      <c r="A21" s="4" t="s">
        <v>231</v>
      </c>
      <c r="C21" s="9"/>
    </row>
    <row r="22" spans="1:3">
      <c r="A22" s="4" t="s">
        <v>232</v>
      </c>
      <c r="C22" s="9"/>
    </row>
    <row r="23" spans="1:3">
      <c r="A23" s="4" t="s">
        <v>233</v>
      </c>
      <c r="C23" s="9"/>
    </row>
    <row r="24" spans="1:3">
      <c r="A24" s="4" t="s">
        <v>234</v>
      </c>
      <c r="C24" s="9"/>
    </row>
    <row r="25" spans="1:3">
      <c r="A25" s="4" t="s">
        <v>235</v>
      </c>
      <c r="C25" s="9"/>
    </row>
    <row r="26" spans="1:3">
      <c r="A26" s="4" t="s">
        <v>236</v>
      </c>
      <c r="C26" s="9"/>
    </row>
    <row r="27" spans="1:3">
      <c r="A27" s="4" t="s">
        <v>237</v>
      </c>
      <c r="C27" s="9"/>
    </row>
    <row r="28" spans="1:3">
      <c r="A28" s="4" t="s">
        <v>238</v>
      </c>
      <c r="C28" s="9"/>
    </row>
    <row r="30" spans="1:3">
      <c r="A30" s="12" t="s">
        <v>239</v>
      </c>
    </row>
    <row r="31" spans="1:3">
      <c r="A31" s="3" t="s">
        <v>240</v>
      </c>
      <c r="B31" s="6">
        <v>5</v>
      </c>
    </row>
    <row r="32" spans="1:3">
      <c r="A32" s="3" t="s">
        <v>241</v>
      </c>
      <c r="B32" s="4" t="s">
        <v>242</v>
      </c>
    </row>
    <row r="33" spans="1:5">
      <c r="A33" s="3" t="s">
        <v>243</v>
      </c>
      <c r="B33" s="9"/>
    </row>
    <row r="36" spans="1:5">
      <c r="A36" s="5" t="s">
        <v>244</v>
      </c>
      <c r="B36" s="5"/>
      <c r="C36" s="5"/>
      <c r="D36" s="5"/>
      <c r="E36" s="5"/>
    </row>
  </sheetData>
  <mergeCells count="2">
    <mergeCell ref="A1:E1"/>
    <mergeCell ref="A36:E36"/>
  </mergeCells>
  <conditionalFormatting sqref="B10:B17">
    <cfRule type="expression" dxfId="5" priority="1">
      <formula>$B9="Non"</formula>
    </cfRule>
  </conditionalFormatting>
  <conditionalFormatting sqref="B21:B28">
    <cfRule type="expression" dxfId="5" priority="2">
      <formula>$B21="Non"</formula>
    </cfRule>
  </conditionalFormatting>
  <dataValidations count="17">
    <dataValidation type="list" allowBlank="1" showInputMessage="1" showErrorMessage="1" sqref="A5">
      <formula1>ParticipantNoms</formula1>
    </dataValidation>
    <dataValidation type="list" allowBlank="1" showInputMessage="1" showErrorMessage="1" sqref="B9">
      <formula1>"Oui,Non"</formula1>
    </dataValidation>
    <dataValidation type="list" allowBlank="1" showInputMessage="1" showErrorMessage="1" sqref="B10">
      <formula1>"Oui,Non"</formula1>
    </dataValidation>
    <dataValidation type="list" allowBlank="1" showInputMessage="1" showErrorMessage="1" sqref="B11">
      <formula1>"Oui,Non"</formula1>
    </dataValidation>
    <dataValidation type="list" allowBlank="1" showInputMessage="1" showErrorMessage="1" sqref="B12">
      <formula1>"Oui,Non"</formula1>
    </dataValidation>
    <dataValidation type="list" allowBlank="1" showInputMessage="1" showErrorMessage="1" sqref="B13">
      <formula1>"Oui,Non"</formula1>
    </dataValidation>
    <dataValidation type="list" allowBlank="1" showInputMessage="1" showErrorMessage="1" sqref="B14">
      <formula1>"Oui,Non"</formula1>
    </dataValidation>
    <dataValidation type="list" allowBlank="1" showInputMessage="1" showErrorMessage="1" sqref="B15">
      <formula1>"Oui,Non"</formula1>
    </dataValidation>
    <dataValidation type="list" allowBlank="1" showInputMessage="1" showErrorMessage="1" sqref="B16">
      <formula1>"Oui,Non"</formula1>
    </dataValidation>
    <dataValidation type="list" allowBlank="1" showInputMessage="1" showErrorMessage="1" sqref="B21">
      <formula1>"Oui,Non"</formula1>
    </dataValidation>
    <dataValidation type="list" allowBlank="1" showInputMessage="1" showErrorMessage="1" sqref="B22">
      <formula1>"Oui,Non"</formula1>
    </dataValidation>
    <dataValidation type="list" allowBlank="1" showInputMessage="1" showErrorMessage="1" sqref="B23">
      <formula1>"Oui,Non"</formula1>
    </dataValidation>
    <dataValidation type="list" allowBlank="1" showInputMessage="1" showErrorMessage="1" sqref="B24">
      <formula1>"Oui,Non"</formula1>
    </dataValidation>
    <dataValidation type="list" allowBlank="1" showInputMessage="1" showErrorMessage="1" sqref="B25">
      <formula1>"Oui,Non"</formula1>
    </dataValidation>
    <dataValidation type="list" allowBlank="1" showInputMessage="1" showErrorMessage="1" sqref="B26">
      <formula1>"Oui,Non"</formula1>
    </dataValidation>
    <dataValidation type="list" allowBlank="1" showInputMessage="1" showErrorMessage="1" sqref="B27">
      <formula1>"Oui,Non"</formula1>
    </dataValidation>
    <dataValidation type="list" allowBlank="1" showInputMessage="1" showErrorMessage="1" sqref="B28">
      <formula1>"Oui,Non"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8</vt:i4>
      </vt:variant>
    </vt:vector>
  </HeadingPairs>
  <TitlesOfParts>
    <vt:vector size="15" baseType="lpstr">
      <vt:lpstr>Paramètres</vt:lpstr>
      <vt:lpstr>Participants</vt:lpstr>
      <vt:lpstr>Trajets</vt:lpstr>
      <vt:lpstr>Planning</vt:lpstr>
      <vt:lpstr>Inscriptions</vt:lpstr>
      <vt:lpstr>Tableau de Bord</vt:lpstr>
      <vt:lpstr>Sécurité &amp; Assurance</vt:lpstr>
      <vt:lpstr>CO2gkm</vt:lpstr>
      <vt:lpstr>CoutKm</vt:lpstr>
      <vt:lpstr>DeviseSym</vt:lpstr>
      <vt:lpstr>InclureCond</vt:lpstr>
      <vt:lpstr>ListeCreneaux</vt:lpstr>
      <vt:lpstr>ListeStatuts</vt:lpstr>
      <vt:lpstr>ParticipantNoms</vt:lpstr>
      <vt:lpstr>TrajetIDs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2025-10-14T16:20:45Z</dcterms:created>
  <dcterms:modified xsi:type="dcterms:W3CDTF">2025-10-14T16:20:45Z</dcterms:modified>
</cp:coreProperties>
</file>