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Suivi_Fluide" sheetId="1" state="visible" r:id="rId1"/>
  </sheets>
  <definedNames>
    <definedName name="_xlnm.Print_Area" localSheetId="0">'Suivi_Fluide'!$A$1:$O$45</definedName>
  </definedNames>
</workbook>
</file>

<file path=xl/styles.xml><?xml version="1.0" encoding="utf-8"?>
<styleSheet xmlns="http://schemas.openxmlformats.org/spreadsheetml/2006/main">
  <numFmts count="3">
    <numFmt numFmtId="164" formatCode="dd/mm/yyyy"/>
    <numFmt numFmtId="165" formatCode="0.0"/>
    <numFmt numFmtId="166" formatCode="0.00;-0.00;;"/>
  </numFmts>
  <fonts count="12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1"/>
    </font>
    <font>
      <b val="1"/>
      <color rgb="000B2F6B"/>
    </font>
    <font>
      <b val="1"/>
    </font>
    <font>
      <color rgb="000000FF"/>
    </font>
    <font>
      <b val="1"/>
      <color rgb="00111827"/>
    </font>
    <font>
      <color rgb="00111827"/>
      <sz val="9"/>
    </font>
    <font>
      <b val="1"/>
      <color rgb="00FFFFFF"/>
      <sz val="10"/>
    </font>
    <font>
      <sz val="9"/>
    </font>
    <font>
      <color rgb="000000FF"/>
      <sz val="9"/>
    </font>
    <font>
      <color rgb="00000000"/>
      <sz val="9"/>
    </font>
  </fonts>
  <fills count="15">
    <fill>
      <patternFill/>
    </fill>
    <fill>
      <patternFill patternType="gray125"/>
    </fill>
    <fill>
      <patternFill patternType="solid">
        <fgColor rgb="000B2F6B"/>
      </patternFill>
    </fill>
    <fill>
      <patternFill patternType="solid">
        <fgColor rgb="00E6EFFA"/>
      </patternFill>
    </fill>
    <fill>
      <patternFill patternType="solid">
        <fgColor rgb="00FFF7CC"/>
      </patternFill>
    </fill>
    <fill>
      <patternFill patternType="solid">
        <fgColor rgb="00F3F4F6"/>
      </patternFill>
    </fill>
    <fill>
      <patternFill patternType="solid">
        <fgColor rgb="0022C55E"/>
      </patternFill>
    </fill>
    <fill>
      <patternFill patternType="solid">
        <fgColor rgb="000EA5A4"/>
      </patternFill>
    </fill>
    <fill>
      <patternFill patternType="solid">
        <fgColor rgb="00F59E0B"/>
      </patternFill>
    </fill>
    <fill>
      <patternFill patternType="solid">
        <fgColor rgb="008B5CF6"/>
      </patternFill>
    </fill>
    <fill>
      <patternFill patternType="solid">
        <fgColor rgb="003B82F6"/>
      </patternFill>
    </fill>
    <fill>
      <patternFill patternType="solid">
        <fgColor rgb="001F2937"/>
      </patternFill>
    </fill>
    <fill>
      <patternFill patternType="solid">
        <fgColor rgb="00ECFDF5"/>
      </patternFill>
    </fill>
    <fill>
      <patternFill patternType="solid">
        <fgColor rgb="00EFF6FF"/>
      </patternFill>
    </fill>
    <fill>
      <patternFill patternType="solid">
        <fgColor rgb="00FFFFFF"/>
      </patternFill>
    </fill>
  </fills>
  <borders count="11">
    <border>
      <left/>
      <right/>
      <top/>
      <bottom/>
      <diagonal/>
    </border>
    <border>
      <left style="thin">
        <color rgb="009CA3AF"/>
      </left>
      <right style="thin">
        <color rgb="009CA3AF"/>
      </right>
      <top style="thin">
        <color rgb="009CA3AF"/>
      </top>
      <bottom style="thin">
        <color rgb="009CA3AF"/>
      </bottom>
    </border>
    <border>
      <left/>
      <right/>
      <top style="thin">
        <color rgb="009CA3AF"/>
      </top>
      <bottom/>
      <diagonal/>
    </border>
    <border>
      <left/>
      <right style="thin">
        <color rgb="009CA3AF"/>
      </right>
      <top style="thin">
        <color rgb="009CA3AF"/>
      </top>
      <bottom/>
      <diagonal/>
    </border>
    <border>
      <left/>
      <right/>
      <top style="thin">
        <color rgb="009CA3AF"/>
      </top>
      <bottom style="thin">
        <color rgb="009CA3AF"/>
      </bottom>
      <diagonal/>
    </border>
    <border>
      <left/>
      <right style="thin">
        <color rgb="009CA3AF"/>
      </right>
      <top style="thin">
        <color rgb="009CA3AF"/>
      </top>
      <bottom style="thin">
        <color rgb="009CA3AF"/>
      </bottom>
      <diagonal/>
    </border>
    <border>
      <left style="thin">
        <color rgb="009CA3AF"/>
      </left>
      <right/>
      <top/>
      <bottom/>
      <diagonal/>
    </border>
    <border>
      <left/>
      <right style="thin">
        <color rgb="009CA3AF"/>
      </right>
      <top/>
      <bottom/>
      <diagonal/>
    </border>
    <border>
      <left style="thin">
        <color rgb="009CA3AF"/>
      </left>
      <right/>
      <top/>
      <bottom style="thin">
        <color rgb="009CA3AF"/>
      </bottom>
      <diagonal/>
    </border>
    <border>
      <left/>
      <right/>
      <top/>
      <bottom style="thin">
        <color rgb="009CA3AF"/>
      </bottom>
      <diagonal/>
    </border>
    <border>
      <left/>
      <right style="thin">
        <color rgb="009CA3AF"/>
      </right>
      <top/>
      <bottom style="thin">
        <color rgb="009CA3AF"/>
      </bottom>
      <diagonal/>
    </border>
  </borders>
  <cellStyleXfs count="1">
    <xf numFmtId="0" fontId="0" fillId="0" borderId="0"/>
  </cellStyleXfs>
  <cellXfs count="5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4" fillId="0" borderId="0" pivotButton="0" quotePrefix="0" xfId="0"/>
    <xf numFmtId="0" fontId="3" fillId="3" borderId="1" applyAlignment="1" pivotButton="0" quotePrefix="0" xfId="0">
      <alignment horizontal="left" vertical="center" wrapText="1"/>
    </xf>
    <xf numFmtId="0" fontId="0" fillId="3" borderId="1" applyAlignment="1" pivotButton="0" quotePrefix="0" xfId="0">
      <alignment horizontal="left" vertical="center" wrapText="1"/>
    </xf>
    <xf numFmtId="0" fontId="6" fillId="5" borderId="1" applyAlignment="1" pivotButton="0" quotePrefix="0" xfId="0">
      <alignment horizontal="left" vertical="center" wrapText="1"/>
    </xf>
    <xf numFmtId="0" fontId="0" fillId="0" borderId="1" pivotButton="0" quotePrefix="0" xfId="0"/>
    <xf numFmtId="0" fontId="9" fillId="0" borderId="0" pivotButton="0" quotePrefix="0" xfId="0"/>
    <xf numFmtId="1" fontId="9" fillId="0" borderId="0" pivotButton="0" quotePrefix="0" xfId="0"/>
    <xf numFmtId="0" fontId="4" fillId="14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  <xf numFmtId="0" fontId="7" fillId="5" borderId="1" applyAlignment="1" pivotButton="0" quotePrefix="0" xfId="0">
      <alignment horizontal="left" vertical="top" wrapText="1"/>
    </xf>
    <xf numFmtId="0" fontId="8" fillId="6" borderId="1" applyAlignment="1" pivotButton="0" quotePrefix="0" xfId="0">
      <alignment horizontal="center" vertical="center" wrapText="1"/>
    </xf>
    <xf numFmtId="0" fontId="8" fillId="7" borderId="1" applyAlignment="1" pivotButton="0" quotePrefix="0" xfId="0">
      <alignment horizontal="center" vertical="center" wrapText="1"/>
    </xf>
    <xf numFmtId="0" fontId="8" fillId="8" borderId="1" applyAlignment="1" pivotButton="0" quotePrefix="0" xfId="0">
      <alignment horizontal="center" vertical="center" wrapText="1"/>
    </xf>
    <xf numFmtId="0" fontId="8" fillId="9" borderId="1" applyAlignment="1" pivotButton="0" quotePrefix="0" xfId="0">
      <alignment horizontal="center" vertical="center" wrapText="1"/>
    </xf>
    <xf numFmtId="0" fontId="8" fillId="10" borderId="1" applyAlignment="1" pivotButton="0" quotePrefix="0" xfId="0">
      <alignment horizontal="center" vertical="center" wrapText="1"/>
    </xf>
    <xf numFmtId="0" fontId="1" fillId="6" borderId="1" applyAlignment="1" pivotButton="0" quotePrefix="0" xfId="0">
      <alignment horizontal="center" vertical="center" wrapText="1"/>
    </xf>
    <xf numFmtId="0" fontId="1" fillId="7" borderId="1" applyAlignment="1" pivotButton="0" quotePrefix="0" xfId="0">
      <alignment horizontal="center" vertical="center" wrapText="1"/>
    </xf>
    <xf numFmtId="0" fontId="1" fillId="8" borderId="1" applyAlignment="1" pivotButton="0" quotePrefix="0" xfId="0">
      <alignment horizontal="center" vertical="center" wrapText="1"/>
    </xf>
    <xf numFmtId="0" fontId="1" fillId="9" borderId="1" applyAlignment="1" pivotButton="0" quotePrefix="0" xfId="0">
      <alignment horizontal="center" vertical="center" wrapText="1"/>
    </xf>
    <xf numFmtId="0" fontId="1" fillId="10" borderId="1" applyAlignment="1" pivotButton="0" quotePrefix="0" xfId="0">
      <alignment horizontal="center" vertical="center" wrapText="1"/>
    </xf>
    <xf numFmtId="0" fontId="8" fillId="11" borderId="1" applyAlignment="1" pivotButton="0" quotePrefix="0" xfId="0">
      <alignment horizontal="center" vertical="center" wrapText="1"/>
    </xf>
    <xf numFmtId="164" fontId="10" fillId="4" borderId="1" applyAlignment="1" pivotButton="0" quotePrefix="0" xfId="0">
      <alignment horizontal="center" vertical="center" wrapText="1"/>
    </xf>
    <xf numFmtId="0" fontId="10" fillId="4" borderId="1" applyAlignment="1" pivotButton="0" quotePrefix="0" xfId="0">
      <alignment horizontal="left" vertical="center" wrapText="1"/>
    </xf>
    <xf numFmtId="1" fontId="11" fillId="12" borderId="1" applyAlignment="1" pivotButton="0" quotePrefix="0" xfId="0">
      <alignment horizontal="right" vertical="center"/>
    </xf>
    <xf numFmtId="2" fontId="10" fillId="4" borderId="1" applyAlignment="1" pivotButton="0" quotePrefix="0" xfId="0">
      <alignment horizontal="right" vertical="center" wrapText="1"/>
    </xf>
    <xf numFmtId="2" fontId="11" fillId="13" borderId="1" applyAlignment="1" pivotButton="0" quotePrefix="0" xfId="0">
      <alignment horizontal="right" vertical="center"/>
    </xf>
    <xf numFmtId="1" fontId="10" fillId="4" borderId="1" applyAlignment="1" pivotButton="0" quotePrefix="0" xfId="0">
      <alignment horizontal="right" vertical="center"/>
    </xf>
    <xf numFmtId="165" fontId="9" fillId="0" borderId="0" pivotButton="0" quotePrefix="0" xfId="0"/>
    <xf numFmtId="0" fontId="4" fillId="3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2" fontId="4" fillId="3" borderId="1" applyAlignment="1" pivotButton="0" quotePrefix="0" xfId="0">
      <alignment horizontal="right" vertical="center"/>
    </xf>
    <xf numFmtId="0" fontId="0" fillId="3" borderId="1" pivotButton="0" quotePrefix="0" xfId="0"/>
    <xf numFmtId="0" fontId="0" fillId="14" borderId="0" pivotButton="0" quotePrefix="0" xfId="0"/>
    <xf numFmtId="0" fontId="9" fillId="5" borderId="1" applyAlignment="1" pivotButton="0" quotePrefix="0" xfId="0">
      <alignment horizontal="left" vertical="center" wrapText="1"/>
    </xf>
    <xf numFmtId="0" fontId="7" fillId="14" borderId="1" applyAlignment="1" pivotButton="0" quotePrefix="0" xfId="0">
      <alignment horizontal="right" vertical="center" wrapText="1"/>
    </xf>
    <xf numFmtId="2" fontId="0" fillId="0" borderId="1" applyAlignment="1" pivotButton="0" quotePrefix="0" xfId="0">
      <alignment horizontal="right" vertical="center" wrapText="1"/>
    </xf>
    <xf numFmtId="164" fontId="7" fillId="14" borderId="1" applyAlignment="1" pivotButton="0" quotePrefix="0" xfId="0">
      <alignment horizontal="right" vertical="center" wrapText="1"/>
    </xf>
    <xf numFmtId="0" fontId="7" fillId="14" borderId="1" applyAlignment="1" pivotButton="0" quotePrefix="0" xfId="0">
      <alignment horizontal="left" vertical="center" wrapText="1"/>
    </xf>
    <xf numFmtId="0" fontId="0" fillId="0" borderId="2" pivotButton="0" quotePrefix="0" xfId="0"/>
    <xf numFmtId="0" fontId="0" fillId="0" borderId="3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166" fontId="1" fillId="9" borderId="1" applyAlignment="1" pivotButton="0" quotePrefix="0" xfId="0">
      <alignment horizontal="center" vertical="center" wrapText="1"/>
    </xf>
    <xf numFmtId="166" fontId="11" fillId="13" borderId="1" applyAlignment="1" pivotButton="0" quotePrefix="0" xfId="0">
      <alignment horizontal="right" vertical="center"/>
    </xf>
    <xf numFmtId="166" fontId="4" fillId="3" borderId="1" applyAlignment="1" pivotButton="0" quotePrefix="0" xfId="0">
      <alignment horizontal="right" vertical="center"/>
    </xf>
    <xf numFmtId="166" fontId="0" fillId="0" borderId="1" applyAlignment="1" pivotButton="0" quotePrefix="0" xfId="0">
      <alignment horizontal="right" vertical="center" wrapText="1"/>
    </xf>
  </cellXfs>
  <cellStyles count="1">
    <cellStyle name="Normal" xfId="0"/>
  </cellStyles>
  <dxfs count="4">
    <dxf>
      <fill>
        <patternFill>
          <bgColor rgb="00FEE2E2"/>
        </patternFill>
      </fill>
    </dxf>
    <dxf>
      <fill>
        <patternFill>
          <bgColor rgb="00FFEDD5"/>
        </patternFill>
      </fill>
    </dxf>
    <dxf>
      <fill>
        <patternFill>
          <bgColor rgb="00FEF9C3"/>
        </patternFill>
      </fill>
    </dxf>
    <dxf>
      <fill>
        <patternFill>
          <bgColor rgb="00FDE68A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omments/comment1.xml><?xml version="1.0" encoding="utf-8"?>
<comments xmlns="http://schemas.openxmlformats.org/spreadsheetml/2006/main">
  <authors>
    <author>Référence</author>
  </authors>
  <commentList>
    <comment ref="Q2" authorId="0" shapeId="0">
      <text>
        <t>Source GWP (100 ans): https://www.epa.gov/climate-hfcs-reduction/technology-transitions-gwp-reference-table</t>
      </text>
    </comment>
  </commentList>
</comment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46"/>
  <sheetViews>
    <sheetView showGridLines="0" workbookViewId="0">
      <selection activeCell="A1" sqref="A1"/>
    </sheetView>
  </sheetViews>
  <sheetFormatPr baseColWidth="8" defaultRowHeight="15"/>
  <cols>
    <col width="11" customWidth="1" min="1" max="1"/>
    <col width="18" customWidth="1" min="2" max="2"/>
    <col width="14" customWidth="1" min="3" max="3"/>
    <col width="14" customWidth="1" min="4" max="4"/>
    <col width="10" customWidth="1" min="5" max="5"/>
    <col width="7" customWidth="1" min="6" max="6"/>
    <col width="12" customWidth="1" min="7" max="7"/>
    <col width="10" customWidth="1" min="8" max="8"/>
    <col width="10" customWidth="1" min="9" max="9"/>
    <col width="12" customWidth="1" min="10" max="10"/>
    <col width="16" customWidth="1" min="11" max="11"/>
    <col width="14" customWidth="1" min="12" max="12"/>
    <col width="14" customWidth="1" min="13" max="13"/>
    <col width="12" customWidth="1" min="14" max="14"/>
    <col width="20" customWidth="1" min="15" max="15"/>
    <col width="10" customWidth="1" min="16" max="16"/>
    <col width="14" customWidth="1" min="17" max="17"/>
    <col width="8" customWidth="1" min="18" max="18"/>
    <col width="14" customWidth="1" min="19" max="19"/>
    <col width="16" customWidth="1" min="20" max="20"/>
    <col width="14" customWidth="1" min="21" max="21"/>
  </cols>
  <sheetData>
    <row r="1" ht="28" customHeight="1">
      <c r="A1" s="1" t="inlineStr">
        <is>
          <t>TABLEAU DE SUIVI — FLUIDE FRIGORIGÈNE (Excel • One‑Page)</t>
        </is>
      </c>
    </row>
    <row r="2" ht="20" customHeight="1">
      <c r="A2" s="2" t="inlineStr">
        <is>
          <t>Saisie rapide des interventions + calcul CO₂e + alertes qualité (impression sur 1 page)</t>
        </is>
      </c>
      <c r="Q2" s="3" t="inlineStr">
        <is>
          <t>Référentiel Fluides (liste)</t>
        </is>
      </c>
      <c r="R2" s="3" t="inlineStr">
        <is>
          <t>GWP</t>
        </is>
      </c>
      <c r="S2" s="3" t="inlineStr">
        <is>
          <t>Opérations</t>
        </is>
      </c>
      <c r="T2" s="3" t="inlineStr">
        <is>
          <t>Types équipement</t>
        </is>
      </c>
      <c r="U2" s="3" t="inlineStr">
        <is>
          <t>Mois</t>
        </is>
      </c>
    </row>
    <row r="3" ht="18" customHeight="1">
      <c r="A3" s="4" t="inlineStr">
        <is>
          <t>Informations (à renseigner)</t>
        </is>
      </c>
      <c r="B3" s="33" t="n"/>
      <c r="C3" s="33" t="n"/>
      <c r="D3" s="33" t="n"/>
      <c r="E3" s="33" t="n"/>
      <c r="F3" s="33" t="n"/>
      <c r="G3" s="33" t="n"/>
      <c r="H3" s="34" t="n"/>
      <c r="I3" s="6" t="inlineStr">
        <is>
          <t>Mode d’emploi (2 minutes)</t>
        </is>
      </c>
      <c r="J3" s="33" t="n"/>
      <c r="K3" s="33" t="n"/>
      <c r="L3" s="33" t="n"/>
      <c r="M3" s="33" t="n"/>
      <c r="N3" s="33" t="n"/>
      <c r="O3" s="34" t="n"/>
      <c r="Q3" s="8" t="inlineStr">
        <is>
          <t>R-134a</t>
        </is>
      </c>
      <c r="R3" s="9" t="n">
        <v>1430</v>
      </c>
      <c r="S3" t="inlineStr">
        <is>
          <t>Ajout</t>
        </is>
      </c>
      <c r="T3" t="inlineStr">
        <is>
          <t>Climatisation</t>
        </is>
      </c>
      <c r="U3" t="inlineStr">
        <is>
          <t>Janvier</t>
        </is>
      </c>
    </row>
    <row r="4" ht="18" customHeight="1">
      <c r="A4" s="10" t="inlineStr">
        <is>
          <t>Entreprise / Agence</t>
        </is>
      </c>
      <c r="B4" s="11" t="inlineStr">
        <is>
          <t>FroidTech Services — France</t>
        </is>
      </c>
      <c r="C4" s="33" t="n"/>
      <c r="D4" s="34" t="n"/>
      <c r="E4" s="10" t="inlineStr">
        <is>
          <t>Période (mois)</t>
        </is>
      </c>
      <c r="F4" s="11" t="inlineStr">
        <is>
          <t>Mars 2026</t>
        </is>
      </c>
      <c r="G4" s="33" t="n"/>
      <c r="H4" s="34" t="n"/>
      <c r="I4" s="13" t="inlineStr">
        <is>
          <t>1) Renseignez les infos (gauche).
2) Saisissez les lignes d’intervention (tableau).
3) Choisissez le fluide : le GWP et le CO₂e se calculent.
4) Si fluide non listé : saisissez le GWP en colonne P (hors impression).
Les valeurs GWP par défaut s’appuient sur une table de référence (voir source en note).</t>
        </is>
      </c>
      <c r="J4" s="43" t="n"/>
      <c r="K4" s="43" t="n"/>
      <c r="L4" s="43" t="n"/>
      <c r="M4" s="43" t="n"/>
      <c r="N4" s="43" t="n"/>
      <c r="O4" s="44" t="n"/>
      <c r="Q4" s="8" t="inlineStr">
        <is>
          <t>R-32</t>
        </is>
      </c>
      <c r="R4" s="9" t="n">
        <v>675</v>
      </c>
      <c r="S4" t="inlineStr">
        <is>
          <t>Récupération</t>
        </is>
      </c>
      <c r="T4" t="inlineStr">
        <is>
          <t>Réfrigération</t>
        </is>
      </c>
      <c r="U4" t="inlineStr">
        <is>
          <t>Février</t>
        </is>
      </c>
    </row>
    <row r="5" ht="18" customHeight="1">
      <c r="A5" s="10" t="inlineStr">
        <is>
          <t>Site / Client</t>
        </is>
      </c>
      <c r="B5" s="11" t="inlineStr">
        <is>
          <t>Multi-sites (France) — Paris, Lyon, Marseille</t>
        </is>
      </c>
      <c r="C5" s="33" t="n"/>
      <c r="D5" s="34" t="n"/>
      <c r="E5" s="10" t="inlineStr">
        <is>
          <t>Technicien</t>
        </is>
      </c>
      <c r="F5" s="11" t="inlineStr">
        <is>
          <t>Jean Dupont</t>
        </is>
      </c>
      <c r="G5" s="33" t="n"/>
      <c r="H5" s="34" t="n"/>
      <c r="I5" s="45" t="n"/>
      <c r="O5" s="46" t="n"/>
      <c r="Q5" s="8" t="inlineStr">
        <is>
          <t>R-404A</t>
        </is>
      </c>
      <c r="R5" s="9" t="n">
        <v>3922</v>
      </c>
      <c r="S5" t="inlineStr">
        <is>
          <t>Fuite</t>
        </is>
      </c>
      <c r="T5" t="inlineStr">
        <is>
          <t>Pompe à chaleur</t>
        </is>
      </c>
      <c r="U5" t="inlineStr">
        <is>
          <t>Mars</t>
        </is>
      </c>
    </row>
    <row r="6" ht="18" customHeight="1">
      <c r="A6" s="10" t="inlineStr">
        <is>
          <t>Adresse / Localisation</t>
        </is>
      </c>
      <c r="B6" s="11" t="inlineStr">
        <is>
          <t>Paris (75) • Lyon (69) • Marseille (13)</t>
        </is>
      </c>
      <c r="C6" s="33" t="n"/>
      <c r="D6" s="34" t="n"/>
      <c r="E6" s="10" t="inlineStr">
        <is>
          <t>N° attestation manipulation</t>
        </is>
      </c>
      <c r="F6" s="11" t="inlineStr">
        <is>
          <t>ATT-FR-2026-0147</t>
        </is>
      </c>
      <c r="G6" s="33" t="n"/>
      <c r="H6" s="34" t="n"/>
      <c r="I6" s="47" t="n"/>
      <c r="J6" s="48" t="n"/>
      <c r="K6" s="48" t="n"/>
      <c r="L6" s="48" t="n"/>
      <c r="M6" s="48" t="n"/>
      <c r="N6" s="48" t="n"/>
      <c r="O6" s="49" t="n"/>
      <c r="Q6" s="8" t="inlineStr">
        <is>
          <t>R-407C</t>
        </is>
      </c>
      <c r="R6" s="9" t="n">
        <v>1774</v>
      </c>
      <c r="S6" t="inlineStr">
        <is>
          <t>Contrôle fuite</t>
        </is>
      </c>
      <c r="T6" t="inlineStr">
        <is>
          <t>Chambre froide</t>
        </is>
      </c>
      <c r="U6" t="inlineStr">
        <is>
          <t>Avril</t>
        </is>
      </c>
    </row>
    <row r="7" ht="30" customHeight="1">
      <c r="A7" s="14" t="inlineStr">
        <is>
          <t>Total ajouté (kg)</t>
        </is>
      </c>
      <c r="B7" s="33" t="n"/>
      <c r="C7" s="34" t="n"/>
      <c r="D7" s="15" t="inlineStr">
        <is>
          <t>Total récupéré (kg)</t>
        </is>
      </c>
      <c r="E7" s="33" t="n"/>
      <c r="F7" s="34" t="n"/>
      <c r="G7" s="16" t="inlineStr">
        <is>
          <t>Fuite / perte (kg)</t>
        </is>
      </c>
      <c r="H7" s="33" t="n"/>
      <c r="I7" s="34" t="n"/>
      <c r="J7" s="17" t="inlineStr">
        <is>
          <t>Total CO₂e (t)</t>
        </is>
      </c>
      <c r="K7" s="33" t="n"/>
      <c r="L7" s="34" t="n"/>
      <c r="M7" s="18" t="inlineStr">
        <is>
          <t>Nb. interventions</t>
        </is>
      </c>
      <c r="N7" s="33" t="n"/>
      <c r="O7" s="34" t="n"/>
      <c r="Q7" s="8" t="inlineStr">
        <is>
          <t>R-410A</t>
        </is>
      </c>
      <c r="R7" s="9" t="n">
        <v>2088</v>
      </c>
      <c r="S7" t="inlineStr">
        <is>
          <t>Mise au rebut</t>
        </is>
      </c>
      <c r="T7" t="inlineStr">
        <is>
          <t>Vitrine</t>
        </is>
      </c>
      <c r="U7" t="inlineStr">
        <is>
          <t>Mai</t>
        </is>
      </c>
    </row>
    <row r="8" ht="30" customHeight="1">
      <c r="A8" s="19">
        <f>SUMIFS($H$13:$H$36,$G$13:$G$36,"Ajout")</f>
        <v/>
      </c>
      <c r="B8" s="43" t="n"/>
      <c r="C8" s="44" t="n"/>
      <c r="D8" s="20">
        <f>SUMIFS($H$13:$H$36,$G$13:$G$36,"Récupération")</f>
        <v/>
      </c>
      <c r="E8" s="43" t="n"/>
      <c r="F8" s="44" t="n"/>
      <c r="G8" s="21">
        <f>SUMIFS($H$13:$H$36,$G$13:$G$36,"Fuite")</f>
        <v/>
      </c>
      <c r="H8" s="43" t="n"/>
      <c r="I8" s="44" t="n"/>
      <c r="J8" s="50">
        <f>SUM($I$13:$I$36)</f>
        <v/>
      </c>
      <c r="K8" s="43" t="n"/>
      <c r="L8" s="44" t="n"/>
      <c r="M8" s="23">
        <f>COUNTIF($A$13:$A$36,"&lt;&gt;")</f>
        <v/>
      </c>
      <c r="N8" s="43" t="n"/>
      <c r="O8" s="44" t="n"/>
      <c r="Q8" s="8" t="inlineStr">
        <is>
          <t>R-448A</t>
        </is>
      </c>
      <c r="R8" s="9" t="n">
        <v>1386</v>
      </c>
      <c r="S8" t="inlineStr">
        <is>
          <t>Autre</t>
        </is>
      </c>
      <c r="T8" t="inlineStr">
        <is>
          <t>Autre</t>
        </is>
      </c>
      <c r="U8" t="inlineStr">
        <is>
          <t>Juin</t>
        </is>
      </c>
    </row>
    <row r="9" ht="30" customHeight="1">
      <c r="A9" s="45" t="n"/>
      <c r="C9" s="46" t="n"/>
      <c r="D9" s="45" t="n"/>
      <c r="F9" s="46" t="n"/>
      <c r="G9" s="45" t="n"/>
      <c r="I9" s="46" t="n"/>
      <c r="J9" s="45" t="n"/>
      <c r="L9" s="46" t="n"/>
      <c r="M9" s="45" t="n"/>
      <c r="O9" s="46" t="n"/>
      <c r="Q9" s="8" t="inlineStr">
        <is>
          <t>R-449A</t>
        </is>
      </c>
      <c r="R9" s="9" t="n">
        <v>1396</v>
      </c>
      <c r="U9" t="inlineStr">
        <is>
          <t>Juillet</t>
        </is>
      </c>
    </row>
    <row r="10" ht="30" customHeight="1">
      <c r="A10" s="47" t="n"/>
      <c r="B10" s="48" t="n"/>
      <c r="C10" s="49" t="n"/>
      <c r="D10" s="47" t="n"/>
      <c r="E10" s="48" t="n"/>
      <c r="F10" s="49" t="n"/>
      <c r="G10" s="47" t="n"/>
      <c r="H10" s="48" t="n"/>
      <c r="I10" s="49" t="n"/>
      <c r="J10" s="47" t="n"/>
      <c r="K10" s="48" t="n"/>
      <c r="L10" s="49" t="n"/>
      <c r="M10" s="47" t="n"/>
      <c r="N10" s="48" t="n"/>
      <c r="O10" s="49" t="n"/>
      <c r="Q10" s="8" t="inlineStr">
        <is>
          <t>R-452A</t>
        </is>
      </c>
      <c r="R10" s="9" t="n">
        <v>2140</v>
      </c>
      <c r="U10" t="inlineStr">
        <is>
          <t>Août</t>
        </is>
      </c>
    </row>
    <row r="11">
      <c r="A11" s="4" t="inlineStr">
        <is>
          <t>Journal des interventions (24 lignes) — utilisez les listes déroulantes</t>
        </is>
      </c>
      <c r="B11" s="33" t="n"/>
      <c r="C11" s="33" t="n"/>
      <c r="D11" s="33" t="n"/>
      <c r="E11" s="33" t="n"/>
      <c r="F11" s="33" t="n"/>
      <c r="G11" s="33" t="n"/>
      <c r="H11" s="33" t="n"/>
      <c r="I11" s="33" t="n"/>
      <c r="J11" s="33" t="n"/>
      <c r="K11" s="33" t="n"/>
      <c r="L11" s="33" t="n"/>
      <c r="M11" s="33" t="n"/>
      <c r="N11" s="33" t="n"/>
      <c r="O11" s="34" t="n"/>
      <c r="Q11" s="8" t="inlineStr">
        <is>
          <t>R-454B</t>
        </is>
      </c>
      <c r="R11" s="9" t="n">
        <v>465</v>
      </c>
      <c r="U11" t="inlineStr">
        <is>
          <t>Septembre</t>
        </is>
      </c>
    </row>
    <row r="12" ht="20" customHeight="1">
      <c r="A12" s="24" t="inlineStr">
        <is>
          <t>Date</t>
        </is>
      </c>
      <c r="B12" s="24" t="inlineStr">
        <is>
          <t>Client / Site</t>
        </is>
      </c>
      <c r="C12" s="24" t="inlineStr">
        <is>
          <t>Équipement (ID)</t>
        </is>
      </c>
      <c r="D12" s="24" t="inlineStr">
        <is>
          <t>Type équipement</t>
        </is>
      </c>
      <c r="E12" s="24" t="inlineStr">
        <is>
          <t>Fluide</t>
        </is>
      </c>
      <c r="F12" s="24" t="inlineStr">
        <is>
          <t>GWP</t>
        </is>
      </c>
      <c r="G12" s="24" t="inlineStr">
        <is>
          <t>Opération</t>
        </is>
      </c>
      <c r="H12" s="24" t="inlineStr">
        <is>
          <t>Qté (kg)</t>
        </is>
      </c>
      <c r="I12" s="24" t="inlineStr">
        <is>
          <t>CO₂e (t)</t>
        </is>
      </c>
      <c r="J12" s="24" t="inlineStr">
        <is>
          <t>Cylindre N°</t>
        </is>
      </c>
      <c r="K12" s="24" t="inlineStr">
        <is>
          <t>Motif / Cause</t>
        </is>
      </c>
      <c r="L12" s="24" t="inlineStr">
        <is>
          <t>Réf. CERFA</t>
        </is>
      </c>
      <c r="M12" s="24" t="inlineStr">
        <is>
          <t>Technicien</t>
        </is>
      </c>
      <c r="N12" s="24" t="inlineStr">
        <is>
          <t>Signature</t>
        </is>
      </c>
      <c r="O12" s="24" t="inlineStr">
        <is>
          <t>Observations</t>
        </is>
      </c>
      <c r="Q12" s="8" t="inlineStr">
        <is>
          <t>R-507A</t>
        </is>
      </c>
      <c r="R12" s="9" t="n">
        <v>3985</v>
      </c>
      <c r="U12" t="inlineStr">
        <is>
          <t>Octobre</t>
        </is>
      </c>
    </row>
    <row r="13" ht="18" customHeight="1">
      <c r="A13" s="25" t="n">
        <v>46082</v>
      </c>
      <c r="B13" s="26" t="inlineStr">
        <is>
          <t>Centre Commercial Les Halles — Paris</t>
        </is>
      </c>
      <c r="C13" s="26" t="inlineStr">
        <is>
          <t>VRV-PAR-01</t>
        </is>
      </c>
      <c r="D13" s="26" t="inlineStr">
        <is>
          <t>Climatisation VRV</t>
        </is>
      </c>
      <c r="E13" s="26" t="inlineStr">
        <is>
          <t>R-410A</t>
        </is>
      </c>
      <c r="F13" s="27">
        <f>IF($E13="","",IF($P13&lt;&gt;"",$P13,IFERROR(VLOOKUP($E13,$Q$3:$R$20,2,FALSE),"")))</f>
        <v/>
      </c>
      <c r="G13" s="26" t="inlineStr">
        <is>
          <t>Contrôle fuite</t>
        </is>
      </c>
      <c r="H13" s="28" t="n">
        <v>0</v>
      </c>
      <c r="I13" s="51">
        <f>IF($E13="","",IF(AND($H13&lt;&gt;"",$F13&lt;&gt;""),$H13*$F13/1000,0))</f>
        <v/>
      </c>
      <c r="J13" s="26" t="inlineStr"/>
      <c r="K13" s="26" t="inlineStr">
        <is>
          <t>Inspection périodique</t>
        </is>
      </c>
      <c r="L13" s="26" t="inlineStr">
        <is>
          <t>—</t>
        </is>
      </c>
      <c r="M13" s="26" t="inlineStr">
        <is>
          <t>M. El Idrissi</t>
        </is>
      </c>
      <c r="N13" s="26" t="inlineStr">
        <is>
          <t>OK</t>
        </is>
      </c>
      <c r="O13" s="26" t="n"/>
      <c r="P13" s="30" t="n"/>
      <c r="Q13" s="8" t="inlineStr">
        <is>
          <t>R-513A</t>
        </is>
      </c>
      <c r="R13" s="9" t="n">
        <v>630</v>
      </c>
      <c r="U13" t="inlineStr">
        <is>
          <t>Novembre</t>
        </is>
      </c>
    </row>
    <row r="14" ht="18" customHeight="1">
      <c r="A14" s="25" t="n">
        <v>46082</v>
      </c>
      <c r="B14" s="26" t="inlineStr">
        <is>
          <t>Centre Commercial Les Halles — Paris</t>
        </is>
      </c>
      <c r="C14" s="26" t="inlineStr">
        <is>
          <t>VRV-PAR-01</t>
        </is>
      </c>
      <c r="D14" s="26" t="inlineStr">
        <is>
          <t>Climatisation VRV</t>
        </is>
      </c>
      <c r="E14" s="26" t="inlineStr">
        <is>
          <t>R-410A</t>
        </is>
      </c>
      <c r="F14" s="27">
        <f>IF($E14="","",IF($P14&lt;&gt;"",$P14,IFERROR(VLOOKUP($E14,$Q$3:$R$20,2,FALSE),"")))</f>
        <v/>
      </c>
      <c r="G14" s="26" t="inlineStr">
        <is>
          <t>Ajout</t>
        </is>
      </c>
      <c r="H14" s="28" t="n">
        <v>1.2</v>
      </c>
      <c r="I14" s="51">
        <f>IF($E14="","",IF(AND($H14&lt;&gt;"",$F14&lt;&gt;""),$H14*$F14/1000,0))</f>
        <v/>
      </c>
      <c r="J14" s="26" t="inlineStr">
        <is>
          <t>CY-FR-410A-07</t>
        </is>
      </c>
      <c r="K14" s="26" t="inlineStr">
        <is>
          <t>Complément charge</t>
        </is>
      </c>
      <c r="L14" s="26" t="inlineStr">
        <is>
          <t>CERFA-2026-0301-01</t>
        </is>
      </c>
      <c r="M14" s="26" t="inlineStr">
        <is>
          <t>M. El Idrissi</t>
        </is>
      </c>
      <c r="N14" s="26" t="inlineStr">
        <is>
          <t>OK</t>
        </is>
      </c>
      <c r="O14" s="26" t="n"/>
      <c r="P14" s="30" t="n"/>
      <c r="Q14" s="8" t="inlineStr">
        <is>
          <t>HFO-1234yf</t>
        </is>
      </c>
      <c r="R14" s="9" t="n">
        <v>1</v>
      </c>
      <c r="U14" t="inlineStr">
        <is>
          <t>Décembre</t>
        </is>
      </c>
    </row>
    <row r="15" ht="18" customHeight="1">
      <c r="A15" s="25" t="n">
        <v>46083</v>
      </c>
      <c r="B15" s="26" t="inlineStr">
        <is>
          <t>Hôpital Saint-Louis — Paris</t>
        </is>
      </c>
      <c r="C15" s="26" t="inlineStr">
        <is>
          <t>CHL-PAR-02</t>
        </is>
      </c>
      <c r="D15" s="26" t="inlineStr">
        <is>
          <t>Groupe d’eau glacée</t>
        </is>
      </c>
      <c r="E15" s="26" t="inlineStr">
        <is>
          <t>R-134a</t>
        </is>
      </c>
      <c r="F15" s="27">
        <f>IF($E15="","",IF($P15&lt;&gt;"",$P15,IFERROR(VLOOKUP($E15,$Q$3:$R$20,2,FALSE),"")))</f>
        <v/>
      </c>
      <c r="G15" s="26" t="inlineStr">
        <is>
          <t>Récupération</t>
        </is>
      </c>
      <c r="H15" s="28" t="n">
        <v>2.5</v>
      </c>
      <c r="I15" s="51">
        <f>IF($E15="","",IF(AND($H15&lt;&gt;"",$F15&lt;&gt;""),$H15*$F15/1000,0))</f>
        <v/>
      </c>
      <c r="J15" s="26" t="inlineStr">
        <is>
          <t>CY-FR-134A-03</t>
        </is>
      </c>
      <c r="K15" s="26" t="inlineStr">
        <is>
          <t>Maintenance compresseur</t>
        </is>
      </c>
      <c r="L15" s="26" t="inlineStr">
        <is>
          <t>CERFA-2026-0302-01</t>
        </is>
      </c>
      <c r="M15" s="26" t="inlineStr">
        <is>
          <t>M. El Idrissi</t>
        </is>
      </c>
      <c r="N15" s="26" t="inlineStr">
        <is>
          <t>OK</t>
        </is>
      </c>
      <c r="O15" s="26" t="n"/>
      <c r="P15" s="30" t="n"/>
      <c r="Q15" s="8" t="inlineStr">
        <is>
          <t>HFO-1234ze(E)</t>
        </is>
      </c>
      <c r="R15" s="9" t="n">
        <v>1</v>
      </c>
    </row>
    <row r="16" ht="18" customHeight="1">
      <c r="A16" s="25" t="n">
        <v>46083</v>
      </c>
      <c r="B16" s="26" t="inlineStr">
        <is>
          <t>Hôpital Saint-Louis — Paris</t>
        </is>
      </c>
      <c r="C16" s="26" t="inlineStr">
        <is>
          <t>CHL-PAR-02</t>
        </is>
      </c>
      <c r="D16" s="26" t="inlineStr">
        <is>
          <t>Groupe d’eau glacée</t>
        </is>
      </c>
      <c r="E16" s="26" t="inlineStr">
        <is>
          <t>R-134a</t>
        </is>
      </c>
      <c r="F16" s="27">
        <f>IF($E16="","",IF($P16&lt;&gt;"",$P16,IFERROR(VLOOKUP($E16,$Q$3:$R$20,2,FALSE),"")))</f>
        <v/>
      </c>
      <c r="G16" s="26" t="inlineStr">
        <is>
          <t>Ajout</t>
        </is>
      </c>
      <c r="H16" s="28" t="n">
        <v>2</v>
      </c>
      <c r="I16" s="51">
        <f>IF($E16="","",IF(AND($H16&lt;&gt;"",$F16&lt;&gt;""),$H16*$F16/1000,0))</f>
        <v/>
      </c>
      <c r="J16" s="26" t="inlineStr">
        <is>
          <t>CY-FR-134A-04</t>
        </is>
      </c>
      <c r="K16" s="26" t="inlineStr">
        <is>
          <t>Remise en charge</t>
        </is>
      </c>
      <c r="L16" s="26" t="inlineStr">
        <is>
          <t>CERFA-2026-0302-02</t>
        </is>
      </c>
      <c r="M16" s="26" t="inlineStr">
        <is>
          <t>M. El Idrissi</t>
        </is>
      </c>
      <c r="N16" s="26" t="inlineStr">
        <is>
          <t>OK</t>
        </is>
      </c>
      <c r="O16" s="26" t="n"/>
      <c r="P16" s="30" t="n"/>
      <c r="Q16" s="8" t="inlineStr">
        <is>
          <t>R-744 (CO2)</t>
        </is>
      </c>
      <c r="R16" s="9" t="n">
        <v>1</v>
      </c>
    </row>
    <row r="17" ht="18" customHeight="1">
      <c r="A17" s="25" t="n">
        <v>46083</v>
      </c>
      <c r="B17" s="26" t="inlineStr">
        <is>
          <t>Data Center Part-Dieu — Lyon</t>
        </is>
      </c>
      <c r="C17" s="26" t="inlineStr">
        <is>
          <t>CRAC-LYO-01</t>
        </is>
      </c>
      <c r="D17" s="26" t="inlineStr">
        <is>
          <t>Climatisation salle IT</t>
        </is>
      </c>
      <c r="E17" s="26" t="inlineStr">
        <is>
          <t>R-404A</t>
        </is>
      </c>
      <c r="F17" s="27">
        <f>IF($E17="","",IF($P17&lt;&gt;"",$P17,IFERROR(VLOOKUP($E17,$Q$3:$R$20,2,FALSE),"")))</f>
        <v/>
      </c>
      <c r="G17" s="26" t="inlineStr">
        <is>
          <t>Ajout</t>
        </is>
      </c>
      <c r="H17" s="28" t="n">
        <v>0.8</v>
      </c>
      <c r="I17" s="51">
        <f>IF($E17="","",IF(AND($H17&lt;&gt;"",$F17&lt;&gt;""),$H17*$F17/1000,0))</f>
        <v/>
      </c>
      <c r="J17" s="26" t="inlineStr">
        <is>
          <t>CY-FR-404A-01</t>
        </is>
      </c>
      <c r="K17" s="26" t="inlineStr">
        <is>
          <t>Baisse de performance</t>
        </is>
      </c>
      <c r="L17" s="26" t="inlineStr">
        <is>
          <t>CERFA-2026-0302-03</t>
        </is>
      </c>
      <c r="M17" s="26" t="inlineStr">
        <is>
          <t>M. El Idrissi</t>
        </is>
      </c>
      <c r="N17" s="26" t="inlineStr">
        <is>
          <t>OK</t>
        </is>
      </c>
      <c r="O17" s="26" t="n"/>
      <c r="P17" s="30" t="n"/>
      <c r="Q17" s="8" t="inlineStr">
        <is>
          <t>R-290 (Propane)</t>
        </is>
      </c>
      <c r="R17" s="31" t="n">
        <v>3.3</v>
      </c>
    </row>
    <row r="18" ht="18" customHeight="1">
      <c r="A18" s="25" t="n">
        <v>46084</v>
      </c>
      <c r="B18" s="26" t="inlineStr">
        <is>
          <t>Data Center Part-Dieu — Lyon</t>
        </is>
      </c>
      <c r="C18" s="26" t="inlineStr">
        <is>
          <t>CRAC-LYO-01</t>
        </is>
      </c>
      <c r="D18" s="26" t="inlineStr">
        <is>
          <t>Climatisation salle IT</t>
        </is>
      </c>
      <c r="E18" s="26" t="inlineStr">
        <is>
          <t>R-404A</t>
        </is>
      </c>
      <c r="F18" s="27">
        <f>IF($E18="","",IF($P18&lt;&gt;"",$P18,IFERROR(VLOOKUP($E18,$Q$3:$R$20,2,FALSE),"")))</f>
        <v/>
      </c>
      <c r="G18" s="26" t="inlineStr">
        <is>
          <t>Fuite</t>
        </is>
      </c>
      <c r="H18" s="28" t="n">
        <v>0.3</v>
      </c>
      <c r="I18" s="51">
        <f>IF($E18="","",IF(AND($H18&lt;&gt;"",$F18&lt;&gt;""),$H18*$F18/1000,0))</f>
        <v/>
      </c>
      <c r="J18" s="26" t="inlineStr"/>
      <c r="K18" s="26" t="inlineStr">
        <is>
          <t>Fuite détectée (raccord)</t>
        </is>
      </c>
      <c r="L18" s="26" t="inlineStr">
        <is>
          <t>CERFA-2026-0303-01</t>
        </is>
      </c>
      <c r="M18" s="26" t="inlineStr">
        <is>
          <t>M. El Idrissi</t>
        </is>
      </c>
      <c r="N18" s="26" t="inlineStr">
        <is>
          <t>OK</t>
        </is>
      </c>
      <c r="O18" s="26" t="n"/>
      <c r="P18" s="30" t="n"/>
      <c r="Q18" s="8" t="inlineStr">
        <is>
          <t>R-717 (Ammonia)</t>
        </is>
      </c>
      <c r="R18" s="9" t="n">
        <v>1</v>
      </c>
    </row>
    <row r="19" ht="18" customHeight="1">
      <c r="A19" s="25" t="n">
        <v>46084</v>
      </c>
      <c r="B19" s="26" t="inlineStr">
        <is>
          <t>Hôtel de Ville — Lyon</t>
        </is>
      </c>
      <c r="C19" s="26" t="inlineStr">
        <is>
          <t>PAC-LYO-03</t>
        </is>
      </c>
      <c r="D19" s="26" t="inlineStr">
        <is>
          <t>Pompe à chaleur</t>
        </is>
      </c>
      <c r="E19" s="26" t="inlineStr">
        <is>
          <t>R-32</t>
        </is>
      </c>
      <c r="F19" s="27">
        <f>IF($E19="","",IF($P19&lt;&gt;"",$P19,IFERROR(VLOOKUP($E19,$Q$3:$R$20,2,FALSE),"")))</f>
        <v/>
      </c>
      <c r="G19" s="26" t="inlineStr">
        <is>
          <t>Ajout</t>
        </is>
      </c>
      <c r="H19" s="28" t="n">
        <v>0.6</v>
      </c>
      <c r="I19" s="51">
        <f>IF($E19="","",IF(AND($H19&lt;&gt;"",$F19&lt;&gt;""),$H19*$F19/1000,0))</f>
        <v/>
      </c>
      <c r="J19" s="26" t="inlineStr">
        <is>
          <t>CY-FR-32-09</t>
        </is>
      </c>
      <c r="K19" s="26" t="inlineStr">
        <is>
          <t>Entretien annuel</t>
        </is>
      </c>
      <c r="L19" s="26" t="inlineStr">
        <is>
          <t>CERFA-2026-0303-02</t>
        </is>
      </c>
      <c r="M19" s="26" t="inlineStr">
        <is>
          <t>M. El Idrissi</t>
        </is>
      </c>
      <c r="N19" s="26" t="inlineStr">
        <is>
          <t>OK</t>
        </is>
      </c>
      <c r="O19" s="26" t="n"/>
      <c r="P19" s="30" t="n"/>
      <c r="Q19" s="8" t="inlineStr">
        <is>
          <t>Autre (saisie en P)</t>
        </is>
      </c>
      <c r="R19" s="9" t="inlineStr"/>
    </row>
    <row r="20" ht="18" customHeight="1">
      <c r="A20" s="25" t="n">
        <v>46084</v>
      </c>
      <c r="B20" s="26" t="inlineStr">
        <is>
          <t>Hôtel de Ville — Lyon</t>
        </is>
      </c>
      <c r="C20" s="26" t="inlineStr">
        <is>
          <t>PAC-LYO-03</t>
        </is>
      </c>
      <c r="D20" s="26" t="inlineStr">
        <is>
          <t>Pompe à chaleur</t>
        </is>
      </c>
      <c r="E20" s="26" t="inlineStr">
        <is>
          <t>R-290 (Propane)</t>
        </is>
      </c>
      <c r="F20" s="27">
        <f>IF($E20="","",IF($P20&lt;&gt;"",$P20,IFERROR(VLOOKUP($E20,$Q$3:$R$20,2,FALSE),"")))</f>
        <v/>
      </c>
      <c r="G20" s="26" t="inlineStr">
        <is>
          <t>Contrôle fuite</t>
        </is>
      </c>
      <c r="H20" s="28" t="n">
        <v>0</v>
      </c>
      <c r="I20" s="51">
        <f>IF($E20="","",IF(AND($H20&lt;&gt;"",$F20&lt;&gt;""),$H20*$F20/1000,0))</f>
        <v/>
      </c>
      <c r="J20" s="26" t="inlineStr"/>
      <c r="K20" s="26" t="inlineStr">
        <is>
          <t>Test étanchéité</t>
        </is>
      </c>
      <c r="L20" s="26" t="inlineStr">
        <is>
          <t>—</t>
        </is>
      </c>
      <c r="M20" s="26" t="inlineStr">
        <is>
          <t>M. El Idrissi</t>
        </is>
      </c>
      <c r="N20" s="26" t="inlineStr">
        <is>
          <t>OK</t>
        </is>
      </c>
      <c r="O20" s="26" t="n"/>
      <c r="P20" s="30" t="n"/>
    </row>
    <row r="21" ht="18" customHeight="1">
      <c r="A21" s="25" t="n">
        <v>46085</v>
      </c>
      <c r="B21" s="26" t="inlineStr">
        <is>
          <t>Port Autonome — Marseille</t>
        </is>
      </c>
      <c r="C21" s="26" t="inlineStr">
        <is>
          <t>CF-MRS-01</t>
        </is>
      </c>
      <c r="D21" s="26" t="inlineStr">
        <is>
          <t>Chambre froide</t>
        </is>
      </c>
      <c r="E21" s="26" t="inlineStr">
        <is>
          <t>R-134a</t>
        </is>
      </c>
      <c r="F21" s="27">
        <f>IF($E21="","",IF($P21&lt;&gt;"",$P21,IFERROR(VLOOKUP($E21,$Q$3:$R$20,2,FALSE),"")))</f>
        <v/>
      </c>
      <c r="G21" s="26" t="inlineStr">
        <is>
          <t>Contrôle fuite</t>
        </is>
      </c>
      <c r="H21" s="28" t="n">
        <v>0</v>
      </c>
      <c r="I21" s="51">
        <f>IF($E21="","",IF(AND($H21&lt;&gt;"",$F21&lt;&gt;""),$H21*$F21/1000,0))</f>
        <v/>
      </c>
      <c r="J21" s="26" t="inlineStr"/>
      <c r="K21" s="26" t="inlineStr">
        <is>
          <t>Contrôle après intervention</t>
        </is>
      </c>
      <c r="L21" s="26" t="inlineStr">
        <is>
          <t>—</t>
        </is>
      </c>
      <c r="M21" s="26" t="inlineStr">
        <is>
          <t>M. El Idrissi</t>
        </is>
      </c>
      <c r="N21" s="26" t="inlineStr">
        <is>
          <t>OK</t>
        </is>
      </c>
      <c r="O21" s="26" t="n"/>
      <c r="P21" s="30" t="n"/>
    </row>
    <row r="22" ht="18" customHeight="1">
      <c r="A22" s="25" t="n">
        <v>46085</v>
      </c>
      <c r="B22" s="26" t="inlineStr">
        <is>
          <t>Port Autonome — Marseille</t>
        </is>
      </c>
      <c r="C22" s="26" t="inlineStr">
        <is>
          <t>CF-MRS-01</t>
        </is>
      </c>
      <c r="D22" s="26" t="inlineStr">
        <is>
          <t>Chambre froide</t>
        </is>
      </c>
      <c r="E22" s="26" t="inlineStr">
        <is>
          <t>R-407C</t>
        </is>
      </c>
      <c r="F22" s="27">
        <f>IF($E22="","",IF($P22&lt;&gt;"",$P22,IFERROR(VLOOKUP($E22,$Q$3:$R$20,2,FALSE),"")))</f>
        <v/>
      </c>
      <c r="G22" s="26" t="inlineStr">
        <is>
          <t>Ajout</t>
        </is>
      </c>
      <c r="H22" s="28" t="n">
        <v>1.1</v>
      </c>
      <c r="I22" s="51">
        <f>IF($E22="","",IF(AND($H22&lt;&gt;"",$F22&lt;&gt;""),$H22*$F22/1000,0))</f>
        <v/>
      </c>
      <c r="J22" s="26" t="inlineStr">
        <is>
          <t>CY-FR-407C-02</t>
        </is>
      </c>
      <c r="K22" s="26" t="inlineStr">
        <is>
          <t>Complément charge</t>
        </is>
      </c>
      <c r="L22" s="26" t="inlineStr">
        <is>
          <t>CERFA-2026-0304-01</t>
        </is>
      </c>
      <c r="M22" s="26" t="inlineStr">
        <is>
          <t>M. El Idrissi</t>
        </is>
      </c>
      <c r="N22" s="26" t="inlineStr">
        <is>
          <t>OK</t>
        </is>
      </c>
      <c r="O22" s="26" t="n"/>
      <c r="P22" s="30" t="n"/>
    </row>
    <row r="23" ht="18" customHeight="1">
      <c r="A23" s="25" t="n">
        <v>46085</v>
      </c>
      <c r="B23" s="26" t="inlineStr">
        <is>
          <t>Aéroport Marseille Provence — Marignane</t>
        </is>
      </c>
      <c r="C23" s="26" t="inlineStr">
        <is>
          <t>ROOF-MAR-02</t>
        </is>
      </c>
      <c r="D23" s="26" t="inlineStr">
        <is>
          <t>Rooftop</t>
        </is>
      </c>
      <c r="E23" s="26" t="inlineStr">
        <is>
          <t>R-407C</t>
        </is>
      </c>
      <c r="F23" s="27">
        <f>IF($E23="","",IF($P23&lt;&gt;"",$P23,IFERROR(VLOOKUP($E23,$Q$3:$R$20,2,FALSE),"")))</f>
        <v/>
      </c>
      <c r="G23" s="26" t="inlineStr">
        <is>
          <t>Fuite</t>
        </is>
      </c>
      <c r="H23" s="28" t="n">
        <v>0.2</v>
      </c>
      <c r="I23" s="51">
        <f>IF($E23="","",IF(AND($H23&lt;&gt;"",$F23&lt;&gt;""),$H23*$F23/1000,0))</f>
        <v/>
      </c>
      <c r="J23" s="26" t="inlineStr"/>
      <c r="K23" s="26" t="inlineStr">
        <is>
          <t>Microfuite détectée</t>
        </is>
      </c>
      <c r="L23" s="26" t="inlineStr">
        <is>
          <t>CERFA-2026-0304-02</t>
        </is>
      </c>
      <c r="M23" s="26" t="inlineStr">
        <is>
          <t>M. El Idrissi</t>
        </is>
      </c>
      <c r="N23" s="26" t="inlineStr">
        <is>
          <t>OK</t>
        </is>
      </c>
      <c r="O23" s="26" t="n"/>
      <c r="P23" s="30" t="n"/>
    </row>
    <row r="24" ht="18" customHeight="1">
      <c r="A24" s="25" t="n">
        <v>46085</v>
      </c>
      <c r="B24" s="26" t="inlineStr">
        <is>
          <t>Aéroport Marseille Provence — Marignane</t>
        </is>
      </c>
      <c r="C24" s="26" t="inlineStr">
        <is>
          <t>ROOF-MAR-02</t>
        </is>
      </c>
      <c r="D24" s="26" t="inlineStr">
        <is>
          <t>Rooftop</t>
        </is>
      </c>
      <c r="E24" s="26" t="inlineStr">
        <is>
          <t>R-410A</t>
        </is>
      </c>
      <c r="F24" s="27">
        <f>IF($E24="","",IF($P24&lt;&gt;"",$P24,IFERROR(VLOOKUP($E24,$Q$3:$R$20,2,FALSE),"")))</f>
        <v/>
      </c>
      <c r="G24" s="26" t="inlineStr">
        <is>
          <t>Récupération</t>
        </is>
      </c>
      <c r="H24" s="28" t="n">
        <v>0.7</v>
      </c>
      <c r="I24" s="51">
        <f>IF($E24="","",IF(AND($H24&lt;&gt;"",$F24&lt;&gt;""),$H24*$F24/1000,0))</f>
        <v/>
      </c>
      <c r="J24" s="26" t="inlineStr">
        <is>
          <t>CY-FR-410A-08</t>
        </is>
      </c>
      <c r="K24" s="26" t="inlineStr">
        <is>
          <t>Dépose unité</t>
        </is>
      </c>
      <c r="L24" s="26" t="inlineStr">
        <is>
          <t>CERFA-2026-0304-03</t>
        </is>
      </c>
      <c r="M24" s="26" t="inlineStr">
        <is>
          <t>M. El Idrissi</t>
        </is>
      </c>
      <c r="N24" s="26" t="inlineStr">
        <is>
          <t>OK</t>
        </is>
      </c>
      <c r="O24" s="26" t="n"/>
      <c r="P24" s="30" t="n"/>
    </row>
    <row r="25" ht="18" customHeight="1">
      <c r="A25" s="25" t="n"/>
      <c r="B25" s="26" t="n"/>
      <c r="C25" s="26" t="n"/>
      <c r="D25" s="26" t="n"/>
      <c r="E25" s="26" t="n"/>
      <c r="F25" s="27">
        <f>IF($E25="","",IF($P25&lt;&gt;"",$P25,IFERROR(VLOOKUP($E25,$Q$3:$R$20,2,FALSE),"")))</f>
        <v/>
      </c>
      <c r="G25" s="26" t="n"/>
      <c r="H25" s="28" t="n"/>
      <c r="I25" s="51">
        <f>IF($E25="","",IF(AND($H25&lt;&gt;"",$F25&lt;&gt;""),$H25*$F25/1000,0))</f>
        <v/>
      </c>
      <c r="J25" s="26" t="n"/>
      <c r="K25" s="26" t="n"/>
      <c r="L25" s="26" t="n"/>
      <c r="M25" s="26" t="n"/>
      <c r="N25" s="26" t="n"/>
      <c r="O25" s="26" t="n"/>
      <c r="P25" s="30" t="n"/>
    </row>
    <row r="26" ht="18" customHeight="1">
      <c r="A26" s="25" t="n"/>
      <c r="B26" s="26" t="n"/>
      <c r="C26" s="26" t="n"/>
      <c r="D26" s="26" t="n"/>
      <c r="E26" s="26" t="n"/>
      <c r="F26" s="27">
        <f>IF($E26="","",IF($P26&lt;&gt;"",$P26,IFERROR(VLOOKUP($E26,$Q$3:$R$20,2,FALSE),"")))</f>
        <v/>
      </c>
      <c r="G26" s="26" t="n"/>
      <c r="H26" s="28" t="n"/>
      <c r="I26" s="51">
        <f>IF($E26="","",IF(AND($H26&lt;&gt;"",$F26&lt;&gt;""),$H26*$F26/1000,0))</f>
        <v/>
      </c>
      <c r="J26" s="26" t="n"/>
      <c r="K26" s="26" t="n"/>
      <c r="L26" s="26" t="n"/>
      <c r="M26" s="26" t="n"/>
      <c r="N26" s="26" t="n"/>
      <c r="O26" s="26" t="n"/>
      <c r="P26" s="30" t="n"/>
    </row>
    <row r="27" ht="18" customHeight="1">
      <c r="A27" s="25" t="n"/>
      <c r="B27" s="26" t="n"/>
      <c r="C27" s="26" t="n"/>
      <c r="D27" s="26" t="n"/>
      <c r="E27" s="26" t="n"/>
      <c r="F27" s="27">
        <f>IF($E27="","",IF($P27&lt;&gt;"",$P27,IFERROR(VLOOKUP($E27,$Q$3:$R$20,2,FALSE),"")))</f>
        <v/>
      </c>
      <c r="G27" s="26" t="n"/>
      <c r="H27" s="28" t="n"/>
      <c r="I27" s="51">
        <f>IF($E27="","",IF(AND($H27&lt;&gt;"",$F27&lt;&gt;""),$H27*$F27/1000,0))</f>
        <v/>
      </c>
      <c r="J27" s="26" t="n"/>
      <c r="K27" s="26" t="n"/>
      <c r="L27" s="26" t="n"/>
      <c r="M27" s="26" t="n"/>
      <c r="N27" s="26" t="n"/>
      <c r="O27" s="26" t="n"/>
      <c r="P27" s="30" t="n"/>
    </row>
    <row r="28" ht="18" customHeight="1">
      <c r="A28" s="25" t="n"/>
      <c r="B28" s="26" t="n"/>
      <c r="C28" s="26" t="n"/>
      <c r="D28" s="26" t="n"/>
      <c r="E28" s="26" t="n"/>
      <c r="F28" s="27">
        <f>IF($E28="","",IF($P28&lt;&gt;"",$P28,IFERROR(VLOOKUP($E28,$Q$3:$R$20,2,FALSE),"")))</f>
        <v/>
      </c>
      <c r="G28" s="26" t="n"/>
      <c r="H28" s="28" t="n"/>
      <c r="I28" s="51">
        <f>IF($E28="","",IF(AND($H28&lt;&gt;"",$F28&lt;&gt;""),$H28*$F28/1000,0))</f>
        <v/>
      </c>
      <c r="J28" s="26" t="n"/>
      <c r="K28" s="26" t="n"/>
      <c r="L28" s="26" t="n"/>
      <c r="M28" s="26" t="n"/>
      <c r="N28" s="26" t="n"/>
      <c r="O28" s="26" t="n"/>
      <c r="P28" s="30" t="n"/>
    </row>
    <row r="29" ht="18" customHeight="1">
      <c r="A29" s="25" t="n"/>
      <c r="B29" s="26" t="n"/>
      <c r="C29" s="26" t="n"/>
      <c r="D29" s="26" t="n"/>
      <c r="E29" s="26" t="n"/>
      <c r="F29" s="27">
        <f>IF($E29="","",IF($P29&lt;&gt;"",$P29,IFERROR(VLOOKUP($E29,$Q$3:$R$20,2,FALSE),"")))</f>
        <v/>
      </c>
      <c r="G29" s="26" t="n"/>
      <c r="H29" s="28" t="n"/>
      <c r="I29" s="51">
        <f>IF($E29="","",IF(AND($H29&lt;&gt;"",$F29&lt;&gt;""),$H29*$F29/1000,0))</f>
        <v/>
      </c>
      <c r="J29" s="26" t="n"/>
      <c r="K29" s="26" t="n"/>
      <c r="L29" s="26" t="n"/>
      <c r="M29" s="26" t="n"/>
      <c r="N29" s="26" t="n"/>
      <c r="O29" s="26" t="n"/>
      <c r="P29" s="30" t="n"/>
    </row>
    <row r="30" ht="18" customHeight="1">
      <c r="A30" s="25" t="n"/>
      <c r="B30" s="26" t="n"/>
      <c r="C30" s="26" t="n"/>
      <c r="D30" s="26" t="n"/>
      <c r="E30" s="26" t="n"/>
      <c r="F30" s="27">
        <f>IF($E30="","",IF($P30&lt;&gt;"",$P30,IFERROR(VLOOKUP($E30,$Q$3:$R$20,2,FALSE),"")))</f>
        <v/>
      </c>
      <c r="G30" s="26" t="n"/>
      <c r="H30" s="28" t="n"/>
      <c r="I30" s="51">
        <f>IF($E30="","",IF(AND($H30&lt;&gt;"",$F30&lt;&gt;""),$H30*$F30/1000,0))</f>
        <v/>
      </c>
      <c r="J30" s="26" t="n"/>
      <c r="K30" s="26" t="n"/>
      <c r="L30" s="26" t="n"/>
      <c r="M30" s="26" t="n"/>
      <c r="N30" s="26" t="n"/>
      <c r="O30" s="26" t="n"/>
      <c r="P30" s="30" t="n"/>
    </row>
    <row r="31" ht="18" customHeight="1">
      <c r="A31" s="25" t="n"/>
      <c r="B31" s="26" t="n"/>
      <c r="C31" s="26" t="n"/>
      <c r="D31" s="26" t="n"/>
      <c r="E31" s="26" t="n"/>
      <c r="F31" s="27">
        <f>IF($E31="","",IF($P31&lt;&gt;"",$P31,IFERROR(VLOOKUP($E31,$Q$3:$R$20,2,FALSE),"")))</f>
        <v/>
      </c>
      <c r="G31" s="26" t="n"/>
      <c r="H31" s="28" t="n"/>
      <c r="I31" s="51">
        <f>IF($E31="","",IF(AND($H31&lt;&gt;"",$F31&lt;&gt;""),$H31*$F31/1000,0))</f>
        <v/>
      </c>
      <c r="J31" s="26" t="n"/>
      <c r="K31" s="26" t="n"/>
      <c r="L31" s="26" t="n"/>
      <c r="M31" s="26" t="n"/>
      <c r="N31" s="26" t="n"/>
      <c r="O31" s="26" t="n"/>
      <c r="P31" s="30" t="n"/>
    </row>
    <row r="32" ht="18" customHeight="1">
      <c r="A32" s="25" t="n"/>
      <c r="B32" s="26" t="n"/>
      <c r="C32" s="26" t="n"/>
      <c r="D32" s="26" t="n"/>
      <c r="E32" s="26" t="n"/>
      <c r="F32" s="27">
        <f>IF($E32="","",IF($P32&lt;&gt;"",$P32,IFERROR(VLOOKUP($E32,$Q$3:$R$20,2,FALSE),"")))</f>
        <v/>
      </c>
      <c r="G32" s="26" t="n"/>
      <c r="H32" s="28" t="n"/>
      <c r="I32" s="51">
        <f>IF($E32="","",IF(AND($H32&lt;&gt;"",$F32&lt;&gt;""),$H32*$F32/1000,0))</f>
        <v/>
      </c>
      <c r="J32" s="26" t="n"/>
      <c r="K32" s="26" t="n"/>
      <c r="L32" s="26" t="n"/>
      <c r="M32" s="26" t="n"/>
      <c r="N32" s="26" t="n"/>
      <c r="O32" s="26" t="n"/>
      <c r="P32" s="30" t="n"/>
    </row>
    <row r="33" ht="18" customHeight="1">
      <c r="A33" s="25" t="n"/>
      <c r="B33" s="26" t="n"/>
      <c r="C33" s="26" t="n"/>
      <c r="D33" s="26" t="n"/>
      <c r="E33" s="26" t="n"/>
      <c r="F33" s="27">
        <f>IF($E33="","",IF($P33&lt;&gt;"",$P33,IFERROR(VLOOKUP($E33,$Q$3:$R$20,2,FALSE),"")))</f>
        <v/>
      </c>
      <c r="G33" s="26" t="n"/>
      <c r="H33" s="28" t="n"/>
      <c r="I33" s="51">
        <f>IF($E33="","",IF(AND($H33&lt;&gt;"",$F33&lt;&gt;""),$H33*$F33/1000,0))</f>
        <v/>
      </c>
      <c r="J33" s="26" t="n"/>
      <c r="K33" s="26" t="n"/>
      <c r="L33" s="26" t="n"/>
      <c r="M33" s="26" t="n"/>
      <c r="N33" s="26" t="n"/>
      <c r="O33" s="26" t="n"/>
      <c r="P33" s="30" t="n"/>
    </row>
    <row r="34" ht="18" customHeight="1">
      <c r="A34" s="25" t="n"/>
      <c r="B34" s="26" t="n"/>
      <c r="C34" s="26" t="n"/>
      <c r="D34" s="26" t="n"/>
      <c r="E34" s="26" t="n"/>
      <c r="F34" s="27">
        <f>IF($E34="","",IF($P34&lt;&gt;"",$P34,IFERROR(VLOOKUP($E34,$Q$3:$R$20,2,FALSE),"")))</f>
        <v/>
      </c>
      <c r="G34" s="26" t="n"/>
      <c r="H34" s="28" t="n"/>
      <c r="I34" s="51">
        <f>IF($E34="","",IF(AND($H34&lt;&gt;"",$F34&lt;&gt;""),$H34*$F34/1000,0))</f>
        <v/>
      </c>
      <c r="J34" s="26" t="n"/>
      <c r="K34" s="26" t="n"/>
      <c r="L34" s="26" t="n"/>
      <c r="M34" s="26" t="n"/>
      <c r="N34" s="26" t="n"/>
      <c r="O34" s="26" t="n"/>
      <c r="P34" s="30" t="n"/>
    </row>
    <row r="35" ht="18" customHeight="1">
      <c r="A35" s="25" t="n"/>
      <c r="B35" s="26" t="n"/>
      <c r="C35" s="26" t="n"/>
      <c r="D35" s="26" t="n"/>
      <c r="E35" s="26" t="n"/>
      <c r="F35" s="27">
        <f>IF($E35="","",IF($P35&lt;&gt;"",$P35,IFERROR(VLOOKUP($E35,$Q$3:$R$20,2,FALSE),"")))</f>
        <v/>
      </c>
      <c r="G35" s="26" t="n"/>
      <c r="H35" s="28" t="n"/>
      <c r="I35" s="51">
        <f>IF($E35="","",IF(AND($H35&lt;&gt;"",$F35&lt;&gt;""),$H35*$F35/1000,0))</f>
        <v/>
      </c>
      <c r="J35" s="26" t="n"/>
      <c r="K35" s="26" t="n"/>
      <c r="L35" s="26" t="n"/>
      <c r="M35" s="26" t="n"/>
      <c r="N35" s="26" t="n"/>
      <c r="O35" s="26" t="n"/>
      <c r="P35" s="30" t="n"/>
    </row>
    <row r="36" ht="18" customHeight="1">
      <c r="A36" s="25" t="n"/>
      <c r="B36" s="26" t="n"/>
      <c r="C36" s="26" t="n"/>
      <c r="D36" s="26" t="n"/>
      <c r="E36" s="26" t="n"/>
      <c r="F36" s="27">
        <f>IF($E36="","",IF($P36&lt;&gt;"",$P36,IFERROR(VLOOKUP($E36,$Q$3:$R$20,2,FALSE),"")))</f>
        <v/>
      </c>
      <c r="G36" s="26" t="n"/>
      <c r="H36" s="28" t="n"/>
      <c r="I36" s="51">
        <f>IF($E36="","",IF(AND($H36&lt;&gt;"",$F36&lt;&gt;""),$H36*$F36/1000,0))</f>
        <v/>
      </c>
      <c r="J36" s="26" t="n"/>
      <c r="K36" s="26" t="n"/>
      <c r="L36" s="26" t="n"/>
      <c r="M36" s="26" t="n"/>
      <c r="N36" s="26" t="n"/>
      <c r="O36" s="26" t="n"/>
      <c r="P36" s="30" t="n"/>
    </row>
    <row r="37" ht="18" customHeight="1">
      <c r="A37" s="32" t="inlineStr">
        <is>
          <t>TOTAL</t>
        </is>
      </c>
      <c r="B37" s="33" t="n"/>
      <c r="C37" s="33" t="n"/>
      <c r="D37" s="33" t="n"/>
      <c r="E37" s="33" t="n"/>
      <c r="F37" s="33" t="n"/>
      <c r="G37" s="34" t="n"/>
      <c r="H37" s="35">
        <f>SUM($H$13:$H$36)</f>
        <v/>
      </c>
      <c r="I37" s="52">
        <f>SUM($I$13:$I$36)</f>
        <v/>
      </c>
      <c r="J37" s="36" t="n"/>
      <c r="K37" s="36" t="n"/>
      <c r="L37" s="36" t="n"/>
      <c r="M37" s="36" t="n"/>
      <c r="N37" s="36" t="n"/>
      <c r="O37" s="36" t="n"/>
    </row>
    <row r="38">
      <c r="A38" s="37" t="n"/>
      <c r="B38" s="37" t="n"/>
      <c r="C38" s="37" t="n"/>
      <c r="D38" s="37" t="n"/>
      <c r="E38" s="37" t="n"/>
      <c r="F38" s="37" t="n"/>
      <c r="G38" s="37" t="n"/>
      <c r="H38" s="37" t="n"/>
      <c r="I38" s="37" t="n"/>
      <c r="J38" s="37" t="n"/>
      <c r="K38" s="37" t="n"/>
      <c r="L38" s="37" t="n"/>
      <c r="M38" s="37" t="n"/>
      <c r="N38" s="37" t="n"/>
      <c r="O38" s="37" t="n"/>
    </row>
    <row r="39" ht="18" customHeight="1">
      <c r="A39" s="4" t="inlineStr">
        <is>
          <t>Synthèse par fluide (sur la période)</t>
        </is>
      </c>
      <c r="B39" s="33" t="n"/>
      <c r="C39" s="33" t="n"/>
      <c r="D39" s="33" t="n"/>
      <c r="E39" s="34" t="n"/>
      <c r="F39" s="4" t="inlineStr">
        <is>
          <t>Contrôles / alertes (qualité de saisie)</t>
        </is>
      </c>
      <c r="G39" s="33" t="n"/>
      <c r="H39" s="33" t="n"/>
      <c r="I39" s="33" t="n"/>
      <c r="J39" s="33" t="n"/>
      <c r="K39" s="33" t="n"/>
      <c r="L39" s="33" t="n"/>
      <c r="M39" s="33" t="n"/>
      <c r="N39" s="33" t="n"/>
      <c r="O39" s="34" t="n"/>
    </row>
    <row r="40" ht="18" customHeight="1">
      <c r="A40" s="24" t="inlineStr">
        <is>
          <t>Fluide</t>
        </is>
      </c>
      <c r="B40" s="24" t="inlineStr">
        <is>
          <t>Ajout (kg)</t>
        </is>
      </c>
      <c r="C40" s="24" t="inlineStr">
        <is>
          <t>Récup (kg)</t>
        </is>
      </c>
      <c r="D40" s="24" t="inlineStr">
        <is>
          <t>Fuite (kg)</t>
        </is>
      </c>
      <c r="E40" s="24" t="inlineStr">
        <is>
          <t>CO₂e (t)</t>
        </is>
      </c>
      <c r="F40" s="38" t="inlineStr">
        <is>
          <t>Lignes avec fluide sans GWP</t>
        </is>
      </c>
      <c r="G40" s="33" t="n"/>
      <c r="H40" s="33" t="n"/>
      <c r="I40" s="33" t="n"/>
      <c r="J40" s="33" t="n"/>
      <c r="K40" s="34" t="n"/>
      <c r="L40" s="39">
        <f>COUNTIFS($E$13:$E$36,"&lt;&gt;",$F$13:$F$36,"")</f>
        <v/>
      </c>
      <c r="M40" s="33" t="n"/>
      <c r="N40" s="33" t="n"/>
      <c r="O40" s="34" t="n"/>
    </row>
    <row r="41" ht="18" customHeight="1">
      <c r="A41" s="11" t="inlineStr">
        <is>
          <t>R-410A</t>
        </is>
      </c>
      <c r="B41" s="40">
        <f>SUMPRODUCT(($E$13:$E$36=$A41)*($G$13:$G$36="Ajout")*($H$13:$H$36))</f>
        <v/>
      </c>
      <c r="C41" s="40">
        <f>SUMPRODUCT(($E$13:$E$36=$A41)*($G$13:$G$36="Récupération")*($H$13:$H$36))</f>
        <v/>
      </c>
      <c r="D41" s="40">
        <f>SUMPRODUCT(($E$13:$E$36=$A41)*($G$13:$G$36="Fuite")*($H$13:$H$36))</f>
        <v/>
      </c>
      <c r="E41" s="53">
        <f>SUMPRODUCT(($E$13:$E$36=$A41)*($I$13:$I$36))</f>
        <v/>
      </c>
      <c r="F41" s="38" t="inlineStr">
        <is>
          <t>Ajout/Récup sans réf. CERFA</t>
        </is>
      </c>
      <c r="G41" s="33" t="n"/>
      <c r="H41" s="33" t="n"/>
      <c r="I41" s="33" t="n"/>
      <c r="J41" s="33" t="n"/>
      <c r="K41" s="34" t="n"/>
      <c r="L41" s="39">
        <f>COUNTIFS($G$13:$G$36,"Ajout",$L$13:$L$36,"")+COUNTIFS($G$13:$G$36,"Récupération",$L$13:$L$36,"")</f>
        <v/>
      </c>
      <c r="M41" s="33" t="n"/>
      <c r="N41" s="33" t="n"/>
      <c r="O41" s="34" t="n"/>
    </row>
    <row r="42" ht="18" customHeight="1">
      <c r="A42" s="11" t="inlineStr">
        <is>
          <t>R-32</t>
        </is>
      </c>
      <c r="B42" s="40">
        <f>SUMPRODUCT(($E$13:$E$36=$A42)*($G$13:$G$36="Ajout")*($H$13:$H$36))</f>
        <v/>
      </c>
      <c r="C42" s="40">
        <f>SUMPRODUCT(($E$13:$E$36=$A42)*($G$13:$G$36="Récupération")*($H$13:$H$36))</f>
        <v/>
      </c>
      <c r="D42" s="40">
        <f>SUMPRODUCT(($E$13:$E$36=$A42)*($G$13:$G$36="Fuite")*($H$13:$H$36))</f>
        <v/>
      </c>
      <c r="E42" s="53">
        <f>SUMPRODUCT(($E$13:$E$36=$A42)*($I$13:$I$36))</f>
        <v/>
      </c>
      <c r="F42" s="38" t="inlineStr">
        <is>
          <t>Lignes sans technicien</t>
        </is>
      </c>
      <c r="G42" s="33" t="n"/>
      <c r="H42" s="33" t="n"/>
      <c r="I42" s="33" t="n"/>
      <c r="J42" s="33" t="n"/>
      <c r="K42" s="34" t="n"/>
      <c r="L42" s="39">
        <f>COUNTIFS($A$13:$A$36,"&lt;&gt;",$M$13:$M$36,"")</f>
        <v/>
      </c>
      <c r="M42" s="33" t="n"/>
      <c r="N42" s="33" t="n"/>
      <c r="O42" s="34" t="n"/>
    </row>
    <row r="43" ht="18" customHeight="1">
      <c r="A43" s="11" t="inlineStr">
        <is>
          <t>R-134a</t>
        </is>
      </c>
      <c r="B43" s="40">
        <f>SUMPRODUCT(($E$13:$E$36=$A43)*($G$13:$G$36="Ajout")*($H$13:$H$36))</f>
        <v/>
      </c>
      <c r="C43" s="40">
        <f>SUMPRODUCT(($E$13:$E$36=$A43)*($G$13:$G$36="Récupération")*($H$13:$H$36))</f>
        <v/>
      </c>
      <c r="D43" s="40">
        <f>SUMPRODUCT(($E$13:$E$36=$A43)*($G$13:$G$36="Fuite")*($H$13:$H$36))</f>
        <v/>
      </c>
      <c r="E43" s="53">
        <f>SUMPRODUCT(($E$13:$E$36=$A43)*($I$13:$I$36))</f>
        <v/>
      </c>
      <c r="F43" s="38" t="inlineStr">
        <is>
          <t>CO₂e &gt; 10 t (à vérifier)</t>
        </is>
      </c>
      <c r="G43" s="33" t="n"/>
      <c r="H43" s="33" t="n"/>
      <c r="I43" s="33" t="n"/>
      <c r="J43" s="33" t="n"/>
      <c r="K43" s="34" t="n"/>
      <c r="L43" s="39">
        <f>COUNTIF($I$13:$I$36,"&gt;10")</f>
        <v/>
      </c>
      <c r="M43" s="33" t="n"/>
      <c r="N43" s="33" t="n"/>
      <c r="O43" s="34" t="n"/>
    </row>
    <row r="44" ht="18" customHeight="1">
      <c r="A44" s="11" t="inlineStr">
        <is>
          <t>R-404A</t>
        </is>
      </c>
      <c r="B44" s="40">
        <f>SUMPRODUCT(($E$13:$E$36=$A44)*($G$13:$G$36="Ajout")*($H$13:$H$36))</f>
        <v/>
      </c>
      <c r="C44" s="40">
        <f>SUMPRODUCT(($E$13:$E$36=$A44)*($G$13:$G$36="Récupération")*($H$13:$H$36))</f>
        <v/>
      </c>
      <c r="D44" s="40">
        <f>SUMPRODUCT(($E$13:$E$36=$A44)*($G$13:$G$36="Fuite")*($H$13:$H$36))</f>
        <v/>
      </c>
      <c r="E44" s="53">
        <f>SUMPRODUCT(($E$13:$E$36=$A44)*($I$13:$I$36))</f>
        <v/>
      </c>
      <c r="F44" s="38" t="inlineStr">
        <is>
          <t>Dernière date saisie</t>
        </is>
      </c>
      <c r="G44" s="33" t="n"/>
      <c r="H44" s="33" t="n"/>
      <c r="I44" s="33" t="n"/>
      <c r="J44" s="33" t="n"/>
      <c r="K44" s="34" t="n"/>
      <c r="L44" s="41">
        <f>IF(COUNTA($A$13:$A$36)=0,"",MAX($A$13:$A$36))</f>
        <v/>
      </c>
      <c r="M44" s="33" t="n"/>
      <c r="N44" s="33" t="n"/>
      <c r="O44" s="34" t="n"/>
    </row>
    <row r="45" ht="18" customHeight="1">
      <c r="A45" s="11" t="inlineStr">
        <is>
          <t>R-448A</t>
        </is>
      </c>
      <c r="B45" s="40">
        <f>SUMPRODUCT(($E$13:$E$36=$A45)*($G$13:$G$36="Ajout")*($H$13:$H$36))</f>
        <v/>
      </c>
      <c r="C45" s="40">
        <f>SUMPRODUCT(($E$13:$E$36=$A45)*($G$13:$G$36="Récupération")*($H$13:$H$36))</f>
        <v/>
      </c>
      <c r="D45" s="40">
        <f>SUMPRODUCT(($E$13:$E$36=$A45)*($G$13:$G$36="Fuite")*($H$13:$H$36))</f>
        <v/>
      </c>
      <c r="E45" s="53">
        <f>SUMPRODUCT(($E$13:$E$36=$A45)*($I$13:$I$36))</f>
        <v/>
      </c>
      <c r="F45" s="38" t="inlineStr">
        <is>
          <t>Source GWP (référence)</t>
        </is>
      </c>
      <c r="G45" s="33" t="n"/>
      <c r="H45" s="33" t="n"/>
      <c r="I45" s="33" t="n"/>
      <c r="J45" s="33" t="n"/>
      <c r="K45" s="34" t="n"/>
      <c r="L45" s="42">
        <f>"https://www.epa.gov/climate-hfcs-reduction/technology-transitions-gwp-reference-table"</f>
        <v/>
      </c>
      <c r="M45" s="33" t="n"/>
      <c r="N45" s="33" t="n"/>
      <c r="O45" s="34" t="n"/>
    </row>
    <row r="46">
      <c r="A46" s="11" t="inlineStr">
        <is>
          <t>R-449A</t>
        </is>
      </c>
      <c r="B46" s="40">
        <f>SUMIFS($H$13:$H$36,$E$13:$E$36,$A46,$G$13:$G$36,"Ajout")</f>
        <v/>
      </c>
      <c r="C46" s="40">
        <f>SUMIFS($H$13:$H$36,$E$13:$E$36,$A46,$G$13:$G$36,"Récupération")</f>
        <v/>
      </c>
      <c r="D46" s="40">
        <f>SUMIFS($H$13:$H$36,$E$13:$E$36,$A46,$G$13:$G$36,"Fuite")</f>
        <v/>
      </c>
      <c r="E46" s="53">
        <f>SUMIFS($I$13:$I$36,$E$13:$E$36,$A46)</f>
        <v/>
      </c>
    </row>
  </sheetData>
  <mergeCells count="37">
    <mergeCell ref="A39:E39"/>
    <mergeCell ref="L44:O44"/>
    <mergeCell ref="F5:H5"/>
    <mergeCell ref="L40:O40"/>
    <mergeCell ref="F42:K42"/>
    <mergeCell ref="F45:K45"/>
    <mergeCell ref="F41:K41"/>
    <mergeCell ref="I4:O6"/>
    <mergeCell ref="M7:O7"/>
    <mergeCell ref="F39:O39"/>
    <mergeCell ref="D7:F7"/>
    <mergeCell ref="J7:L7"/>
    <mergeCell ref="A2:O2"/>
    <mergeCell ref="A8:C10"/>
    <mergeCell ref="F43:K43"/>
    <mergeCell ref="B6:D6"/>
    <mergeCell ref="D8:F10"/>
    <mergeCell ref="A3:H3"/>
    <mergeCell ref="B5:D5"/>
    <mergeCell ref="M8:O10"/>
    <mergeCell ref="B4:D4"/>
    <mergeCell ref="L43:O43"/>
    <mergeCell ref="F4:H4"/>
    <mergeCell ref="L42:O42"/>
    <mergeCell ref="F44:K44"/>
    <mergeCell ref="A37:G37"/>
    <mergeCell ref="L45:O45"/>
    <mergeCell ref="G8:I10"/>
    <mergeCell ref="F6:H6"/>
    <mergeCell ref="J8:L10"/>
    <mergeCell ref="I3:O3"/>
    <mergeCell ref="A11:O11"/>
    <mergeCell ref="F40:K40"/>
    <mergeCell ref="A1:O1"/>
    <mergeCell ref="A7:C7"/>
    <mergeCell ref="G7:I7"/>
    <mergeCell ref="L41:O41"/>
  </mergeCells>
  <conditionalFormatting sqref="A13:O36">
    <cfRule type="expression" priority="1" dxfId="0">
      <formula>$G13="Fuite"</formula>
    </cfRule>
  </conditionalFormatting>
  <conditionalFormatting sqref="F13:F36">
    <cfRule type="expression" priority="2" dxfId="1">
      <formula>AND($E13&lt;&gt;"",$F13="")</formula>
    </cfRule>
  </conditionalFormatting>
  <conditionalFormatting sqref="L13:L36">
    <cfRule type="expression" priority="3" dxfId="2">
      <formula>AND(OR($G13="Ajout",$G13="Récupération"),$L13="")</formula>
    </cfRule>
  </conditionalFormatting>
  <conditionalFormatting sqref="A13:A36">
    <cfRule type="expression" priority="4" dxfId="3">
      <formula>AND($H13&lt;&gt;"",$A13="")</formula>
    </cfRule>
  </conditionalFormatting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2026-03-05T07:24:46Z</dcterms:created>
  <dcterms:modified xmlns:dcterms="http://purl.org/dc/terms/" xmlns:xsi="http://www.w3.org/2001/XMLSchema-instance" xsi:type="dcterms:W3CDTF">2026-03-05T07:26:02Z</dcterms:modified>
</cp:coreProperties>
</file>